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6"/>
  <workbookPr/>
  <mc:AlternateContent xmlns:mc="http://schemas.openxmlformats.org/markup-compatibility/2006">
    <mc:Choice Requires="x15">
      <x15ac:absPath xmlns:x15ac="http://schemas.microsoft.com/office/spreadsheetml/2010/11/ac" url="/Users/jorge benitez/Documents/G E R E N C I A/2023/Nominas 2023/SalariosMininmos2023/"/>
    </mc:Choice>
  </mc:AlternateContent>
  <xr:revisionPtr revIDLastSave="0" documentId="8_{4788A5EA-CB5E-D74F-A195-24A78D4C103D}" xr6:coauthVersionLast="47" xr6:coauthVersionMax="47" xr10:uidLastSave="{00000000-0000-0000-0000-000000000000}"/>
  <bookViews>
    <workbookView xWindow="980" yWindow="500" windowWidth="19420" windowHeight="10420" tabRatio="760" activeTab="1" xr2:uid="{00000000-000D-0000-FFFF-FFFF00000000}"/>
  </bookViews>
  <sheets>
    <sheet name="GraficarPuntos" sheetId="1" state="hidden" r:id="rId1"/>
    <sheet name="Introducción" sheetId="15" r:id="rId2"/>
    <sheet name="Cálculo de Periodos" sheetId="9" r:id="rId3"/>
    <sheet name="Cálculo Anual" sheetId="10" r:id="rId4"/>
    <sheet name="Hoja1" sheetId="16" r:id="rId5"/>
    <sheet name="TARIFAS 2022" sheetId="5" r:id="rId6"/>
    <sheet name="TARIFAS 2023" sheetId="14" r:id="rId7"/>
    <sheet name="INPC20" sheetId="12" state="hidden" r:id="rId8"/>
  </sheets>
  <definedNames>
    <definedName name="Anual2022">'TARIFAS 2022'!$F$56:$H$66</definedName>
    <definedName name="Anual2023">'TARIFAS 2023'!$F$42:$H$52</definedName>
    <definedName name="Ingreso_Gravado_Directo" localSheetId="2">'Cálculo de Periodos'!$D$8:$D$59</definedName>
    <definedName name="INPC">INPC20!$A$4:$M$9</definedName>
    <definedName name="Opciones2">'TARIFAS 2022'!$H$44:$H$45</definedName>
    <definedName name="Subsidio2022">'TARIFAS 2022'!$F$26:$G$36</definedName>
    <definedName name="Tabla2022">'TARIFAS 2022'!$F$10:$H$20</definedName>
    <definedName name="Tabla2023">'TARIFAS 2023'!$F$10:$H$20</definedName>
    <definedName name="Z_B421B96C_BE4E_4B6F_9142_FF1AE2A373A8_.wvu.Cols" localSheetId="2" hidden="1">'Cálculo de Periodos'!#REF!</definedName>
    <definedName name="Z_B421B96C_BE4E_4B6F_9142_FF1AE2A373A8_.wvu.Cols" localSheetId="5" hidden="1">'TARIFAS 2022'!$A:$D</definedName>
    <definedName name="Z_B421B96C_BE4E_4B6F_9142_FF1AE2A373A8_.wvu.Cols" localSheetId="6" hidden="1">'TARIFAS 2023'!$A:$D</definedName>
    <definedName name="Z_B421B96C_BE4E_4B6F_9142_FF1AE2A373A8_.wvu.PrintArea" localSheetId="2" hidden="1">'Cálculo de Periodos'!$A$1:$H$32</definedName>
  </definedNames>
  <calcPr calcId="191029"/>
  <customWorkbookViews>
    <customWorkbookView name="Benito Barragan - Vista personalizada" guid="{B421B96C-BE4E-4B6F-9142-FF1AE2A373A8}" mergeInterval="0" personalView="1" maximized="1" xWindow="1" yWindow="1" windowWidth="1127" windowHeight="58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9" l="1"/>
  <c r="G10" i="16" l="1"/>
  <c r="G9" i="16"/>
  <c r="E10" i="16"/>
  <c r="F10" i="16" s="1"/>
  <c r="H10" i="16" s="1"/>
  <c r="E9" i="16"/>
  <c r="F9" i="16" s="1"/>
  <c r="H9" i="16" s="1"/>
  <c r="D10" i="16"/>
  <c r="D9" i="16"/>
  <c r="I4" i="9" l="1"/>
  <c r="J8" i="9" l="1"/>
  <c r="B8" i="9"/>
  <c r="N9" i="12"/>
  <c r="L3" i="9" l="1"/>
  <c r="K3" i="9"/>
  <c r="G7" i="14"/>
  <c r="G7" i="5"/>
  <c r="G23" i="5" s="1"/>
  <c r="H23" i="5" s="1"/>
  <c r="O11" i="12"/>
  <c r="J48" i="12"/>
  <c r="J47" i="12"/>
  <c r="J46" i="12"/>
  <c r="J45" i="12"/>
  <c r="J44" i="12"/>
  <c r="J43" i="12"/>
  <c r="J42" i="12"/>
  <c r="J41" i="12"/>
  <c r="J40" i="12"/>
  <c r="J39" i="12"/>
  <c r="J38" i="12"/>
  <c r="I39" i="12"/>
  <c r="I40" i="12"/>
  <c r="I41" i="12"/>
  <c r="I42" i="12"/>
  <c r="I43" i="12"/>
  <c r="I44" i="12"/>
  <c r="I45" i="12"/>
  <c r="I46" i="12"/>
  <c r="I47" i="12"/>
  <c r="I48" i="12"/>
  <c r="I38" i="12"/>
  <c r="F39" i="12"/>
  <c r="F23" i="12"/>
  <c r="J30" i="12" s="1"/>
  <c r="E27" i="14"/>
  <c r="E28" i="14" s="1"/>
  <c r="E29" i="14" s="1"/>
  <c r="E30" i="14" s="1"/>
  <c r="E31" i="14" s="1"/>
  <c r="E32" i="14" s="1"/>
  <c r="E33" i="14" s="1"/>
  <c r="E34" i="14" s="1"/>
  <c r="E35" i="14" s="1"/>
  <c r="E36" i="14" s="1"/>
  <c r="A27" i="14"/>
  <c r="A28" i="14" s="1"/>
  <c r="A29" i="14" s="1"/>
  <c r="A30" i="14" s="1"/>
  <c r="A31" i="14" s="1"/>
  <c r="A32" i="14" s="1"/>
  <c r="A33" i="14" s="1"/>
  <c r="A34" i="14" s="1"/>
  <c r="A35" i="14" s="1"/>
  <c r="A36" i="14" s="1"/>
  <c r="H20" i="14"/>
  <c r="H19" i="14"/>
  <c r="H18" i="14"/>
  <c r="H17" i="14"/>
  <c r="H16" i="14"/>
  <c r="H15" i="14"/>
  <c r="H14" i="14"/>
  <c r="H13" i="14"/>
  <c r="H12" i="14"/>
  <c r="H11" i="14"/>
  <c r="E11" i="14"/>
  <c r="E12" i="14" s="1"/>
  <c r="E13" i="14" s="1"/>
  <c r="E14" i="14" s="1"/>
  <c r="E15" i="14" s="1"/>
  <c r="E16" i="14" s="1"/>
  <c r="E17" i="14" s="1"/>
  <c r="E18" i="14" s="1"/>
  <c r="E19" i="14" s="1"/>
  <c r="E20" i="14" s="1"/>
  <c r="H10" i="14"/>
  <c r="D8" i="9"/>
  <c r="A27" i="5"/>
  <c r="A28" i="5" s="1"/>
  <c r="A29" i="5" s="1"/>
  <c r="A30" i="5" s="1"/>
  <c r="A31" i="5" s="1"/>
  <c r="A32" i="5" s="1"/>
  <c r="A33" i="5" s="1"/>
  <c r="A34" i="5" s="1"/>
  <c r="A35" i="5" s="1"/>
  <c r="A36" i="5" s="1"/>
  <c r="J31" i="12" l="1"/>
  <c r="H7" i="14"/>
  <c r="H8" i="14" s="1"/>
  <c r="F19" i="14" s="1"/>
  <c r="J23" i="12"/>
  <c r="J24" i="12"/>
  <c r="G23" i="14"/>
  <c r="H23" i="14" s="1"/>
  <c r="G24" i="14" s="1"/>
  <c r="F36" i="14" s="1"/>
  <c r="H7" i="5"/>
  <c r="J32" i="12"/>
  <c r="I29" i="12"/>
  <c r="I28" i="12"/>
  <c r="I27" i="12"/>
  <c r="J25" i="12"/>
  <c r="I26" i="12"/>
  <c r="J26" i="12"/>
  <c r="J27" i="12"/>
  <c r="I22" i="12"/>
  <c r="I25" i="12"/>
  <c r="I32" i="12"/>
  <c r="I24" i="12"/>
  <c r="J28" i="12"/>
  <c r="I31" i="12"/>
  <c r="I23" i="12"/>
  <c r="J29" i="12"/>
  <c r="I30" i="12"/>
  <c r="J22" i="12"/>
  <c r="L8" i="9"/>
  <c r="G11" i="14" l="1"/>
  <c r="F18" i="14"/>
  <c r="F20" i="14"/>
  <c r="F14" i="14"/>
  <c r="G32" i="14"/>
  <c r="G36" i="14"/>
  <c r="G30" i="14"/>
  <c r="F16" i="14"/>
  <c r="G34" i="14"/>
  <c r="G27" i="14"/>
  <c r="G28" i="14"/>
  <c r="G31" i="14"/>
  <c r="F31" i="14"/>
  <c r="G33" i="14"/>
  <c r="F32" i="14"/>
  <c r="F33" i="14"/>
  <c r="G35" i="14"/>
  <c r="F34" i="14"/>
  <c r="F27" i="14"/>
  <c r="G29" i="14"/>
  <c r="F28" i="14"/>
  <c r="F29" i="14"/>
  <c r="F30" i="14"/>
  <c r="F35" i="14"/>
  <c r="G26" i="14"/>
  <c r="G13" i="14"/>
  <c r="G17" i="14"/>
  <c r="G10" i="14"/>
  <c r="G12" i="14"/>
  <c r="F12" i="14"/>
  <c r="F15" i="14"/>
  <c r="F13" i="14"/>
  <c r="M8" i="9" s="1"/>
  <c r="F17" i="14"/>
  <c r="G14" i="14"/>
  <c r="G15" i="14"/>
  <c r="G16" i="14"/>
  <c r="F11" i="14"/>
  <c r="G18" i="14"/>
  <c r="G19" i="14"/>
  <c r="G20" i="14"/>
  <c r="A5" i="12"/>
  <c r="A6" i="12" s="1"/>
  <c r="A7" i="12" l="1"/>
  <c r="A8" i="12" s="1"/>
  <c r="A9" i="12" s="1"/>
  <c r="A9" i="9" l="1"/>
  <c r="C6" i="9"/>
  <c r="B9" i="9" l="1"/>
  <c r="D9" i="9" s="1"/>
  <c r="J9" i="9"/>
  <c r="L9" i="9" s="1"/>
  <c r="M9" i="9" s="1"/>
  <c r="A10" i="9"/>
  <c r="A11" i="9" l="1"/>
  <c r="A12" i="9" s="1"/>
  <c r="J10" i="9"/>
  <c r="L10" i="9" s="1"/>
  <c r="B10" i="9"/>
  <c r="D10" i="9" s="1"/>
  <c r="M10" i="9" l="1"/>
  <c r="B12" i="9"/>
  <c r="D12" i="9" s="1"/>
  <c r="J12" i="9"/>
  <c r="L12" i="9" s="1"/>
  <c r="J11" i="9"/>
  <c r="L11" i="9" s="1"/>
  <c r="B11" i="9"/>
  <c r="D11" i="9" s="1"/>
  <c r="A13" i="9"/>
  <c r="M11" i="9" l="1"/>
  <c r="B13" i="9"/>
  <c r="D13" i="9" s="1"/>
  <c r="J13" i="9"/>
  <c r="L13" i="9" s="1"/>
  <c r="M12" i="9"/>
  <c r="A14" i="9"/>
  <c r="B14" i="9" l="1"/>
  <c r="D14" i="9" s="1"/>
  <c r="J14" i="9"/>
  <c r="L14" i="9" s="1"/>
  <c r="M13" i="9"/>
  <c r="A15" i="9"/>
  <c r="H18" i="5"/>
  <c r="H19" i="5"/>
  <c r="H20" i="5"/>
  <c r="H14" i="5"/>
  <c r="H17" i="5"/>
  <c r="H11" i="5"/>
  <c r="H13" i="5"/>
  <c r="H10" i="5"/>
  <c r="H15" i="5"/>
  <c r="H12" i="5"/>
  <c r="H16" i="5"/>
  <c r="E27" i="5"/>
  <c r="E28" i="5" s="1"/>
  <c r="E29" i="5" s="1"/>
  <c r="E30" i="5" s="1"/>
  <c r="E31" i="5" s="1"/>
  <c r="E32" i="5" s="1"/>
  <c r="E33" i="5" s="1"/>
  <c r="E34" i="5" s="1"/>
  <c r="E35" i="5" s="1"/>
  <c r="E36" i="5" s="1"/>
  <c r="E11" i="5"/>
  <c r="E12" i="5" s="1"/>
  <c r="E13" i="5" s="1"/>
  <c r="E14" i="5" s="1"/>
  <c r="E15" i="5" s="1"/>
  <c r="E16" i="5" s="1"/>
  <c r="E17" i="5" s="1"/>
  <c r="E18" i="5" s="1"/>
  <c r="E19" i="5" s="1"/>
  <c r="E20" i="5" s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B5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C6" i="1"/>
  <c r="C7" i="1"/>
  <c r="C8" i="1"/>
  <c r="C9" i="1"/>
  <c r="C10" i="1"/>
  <c r="C11" i="1"/>
  <c r="C12" i="1"/>
  <c r="C13" i="1"/>
  <c r="C14" i="1"/>
  <c r="C5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B15" i="9" l="1"/>
  <c r="D15" i="9" s="1"/>
  <c r="J15" i="9"/>
  <c r="L15" i="9" s="1"/>
  <c r="M14" i="9"/>
  <c r="A16" i="9"/>
  <c r="H8" i="5"/>
  <c r="F19" i="5" s="1"/>
  <c r="B16" i="9" l="1"/>
  <c r="D16" i="9" s="1"/>
  <c r="J16" i="9"/>
  <c r="L16" i="9" s="1"/>
  <c r="M15" i="9"/>
  <c r="A17" i="9"/>
  <c r="F20" i="5"/>
  <c r="F16" i="5"/>
  <c r="F17" i="5"/>
  <c r="F14" i="5"/>
  <c r="G20" i="5"/>
  <c r="F13" i="5"/>
  <c r="F15" i="5"/>
  <c r="G14" i="5"/>
  <c r="G12" i="5"/>
  <c r="F11" i="5"/>
  <c r="G13" i="5"/>
  <c r="G11" i="5"/>
  <c r="G19" i="5"/>
  <c r="G24" i="5"/>
  <c r="F12" i="5"/>
  <c r="G10" i="5"/>
  <c r="G15" i="5"/>
  <c r="G16" i="5"/>
  <c r="G18" i="5"/>
  <c r="G17" i="5"/>
  <c r="F18" i="5"/>
  <c r="B17" i="9" l="1"/>
  <c r="D17" i="9" s="1"/>
  <c r="J17" i="9"/>
  <c r="L17" i="9" s="1"/>
  <c r="M16" i="9"/>
  <c r="E11" i="9"/>
  <c r="E10" i="9"/>
  <c r="E9" i="9"/>
  <c r="E12" i="9"/>
  <c r="E13" i="9"/>
  <c r="E14" i="9"/>
  <c r="E15" i="9"/>
  <c r="E16" i="9"/>
  <c r="E8" i="9"/>
  <c r="A18" i="9"/>
  <c r="G31" i="5"/>
  <c r="G33" i="5"/>
  <c r="F28" i="5"/>
  <c r="F31" i="5"/>
  <c r="G32" i="5"/>
  <c r="G30" i="5"/>
  <c r="G34" i="5"/>
  <c r="F34" i="5"/>
  <c r="G27" i="5"/>
  <c r="F29" i="5"/>
  <c r="F30" i="5"/>
  <c r="G36" i="5"/>
  <c r="F35" i="5"/>
  <c r="G29" i="5"/>
  <c r="F27" i="5"/>
  <c r="G26" i="5"/>
  <c r="F36" i="5"/>
  <c r="F32" i="5"/>
  <c r="G28" i="5"/>
  <c r="G35" i="5"/>
  <c r="F33" i="5"/>
  <c r="G12" i="9" l="1"/>
  <c r="G11" i="9"/>
  <c r="J18" i="9"/>
  <c r="L18" i="9" s="1"/>
  <c r="B18" i="9"/>
  <c r="D18" i="9" s="1"/>
  <c r="F18" i="9" s="1"/>
  <c r="M17" i="9"/>
  <c r="E17" i="9"/>
  <c r="F12" i="9"/>
  <c r="H12" i="9" s="1"/>
  <c r="F10" i="9"/>
  <c r="G10" i="9" s="1"/>
  <c r="N13" i="9"/>
  <c r="O13" i="9" s="1"/>
  <c r="N10" i="9"/>
  <c r="O10" i="9" s="1"/>
  <c r="N11" i="9"/>
  <c r="O11" i="9" s="1"/>
  <c r="N15" i="9"/>
  <c r="N9" i="9"/>
  <c r="O9" i="9" s="1"/>
  <c r="N17" i="9"/>
  <c r="F11" i="9"/>
  <c r="N14" i="9"/>
  <c r="N16" i="9"/>
  <c r="O16" i="9" s="1"/>
  <c r="N12" i="9"/>
  <c r="O12" i="9" s="1"/>
  <c r="F9" i="9"/>
  <c r="H9" i="9" s="1"/>
  <c r="F14" i="9"/>
  <c r="G14" i="9" s="1"/>
  <c r="F13" i="9"/>
  <c r="H13" i="9" s="1"/>
  <c r="F16" i="9"/>
  <c r="G16" i="9" s="1"/>
  <c r="F15" i="9"/>
  <c r="H15" i="9" s="1"/>
  <c r="N8" i="9"/>
  <c r="O8" i="9" s="1"/>
  <c r="F8" i="9"/>
  <c r="G8" i="9" s="1"/>
  <c r="F17" i="9"/>
  <c r="A19" i="9"/>
  <c r="G13" i="9" l="1"/>
  <c r="I13" i="9" s="1"/>
  <c r="J19" i="9"/>
  <c r="L19" i="9" s="1"/>
  <c r="B19" i="9"/>
  <c r="D19" i="9" s="1"/>
  <c r="G17" i="9"/>
  <c r="G15" i="9"/>
  <c r="I15" i="9" s="1"/>
  <c r="I12" i="9"/>
  <c r="O17" i="9"/>
  <c r="P15" i="9"/>
  <c r="O15" i="9"/>
  <c r="P11" i="9"/>
  <c r="M18" i="9"/>
  <c r="P12" i="9"/>
  <c r="P14" i="9"/>
  <c r="O14" i="9"/>
  <c r="P17" i="9"/>
  <c r="G9" i="9"/>
  <c r="I9" i="9" s="1"/>
  <c r="E18" i="9"/>
  <c r="H18" i="9" s="1"/>
  <c r="P8" i="9"/>
  <c r="N18" i="9"/>
  <c r="H10" i="9"/>
  <c r="I10" i="9" s="1"/>
  <c r="H16" i="9"/>
  <c r="I16" i="9" s="1"/>
  <c r="P16" i="9"/>
  <c r="Q16" i="9" s="1"/>
  <c r="P13" i="9"/>
  <c r="Q13" i="9" s="1"/>
  <c r="P10" i="9"/>
  <c r="Q10" i="9" s="1"/>
  <c r="H17" i="9"/>
  <c r="H11" i="9"/>
  <c r="I11" i="9" s="1"/>
  <c r="P9" i="9"/>
  <c r="Q9" i="9" s="1"/>
  <c r="H14" i="9"/>
  <c r="I14" i="9" s="1"/>
  <c r="H8" i="9"/>
  <c r="A20" i="9"/>
  <c r="I17" i="9" l="1"/>
  <c r="O18" i="9"/>
  <c r="B20" i="9"/>
  <c r="D20" i="9" s="1"/>
  <c r="J20" i="9"/>
  <c r="G18" i="9"/>
  <c r="I18" i="9" s="1"/>
  <c r="Q12" i="9"/>
  <c r="R12" i="9" s="1"/>
  <c r="Q11" i="9"/>
  <c r="R11" i="9" s="1"/>
  <c r="Q17" i="9"/>
  <c r="Q15" i="9"/>
  <c r="R15" i="9" s="1"/>
  <c r="Q14" i="9"/>
  <c r="R14" i="9" s="1"/>
  <c r="M19" i="9"/>
  <c r="R16" i="9"/>
  <c r="Q8" i="9"/>
  <c r="R13" i="9"/>
  <c r="I8" i="9"/>
  <c r="P18" i="9"/>
  <c r="R10" i="9"/>
  <c r="R9" i="9"/>
  <c r="E19" i="9"/>
  <c r="G19" i="9" s="1"/>
  <c r="F19" i="9"/>
  <c r="N19" i="9"/>
  <c r="A21" i="9"/>
  <c r="R17" i="9" l="1"/>
  <c r="Q18" i="9"/>
  <c r="R18" i="9" s="1"/>
  <c r="B21" i="9"/>
  <c r="D21" i="9" s="1"/>
  <c r="J21" i="9"/>
  <c r="O19" i="9"/>
  <c r="R8" i="9"/>
  <c r="P19" i="9"/>
  <c r="H19" i="9"/>
  <c r="L20" i="9"/>
  <c r="A22" i="9"/>
  <c r="B22" i="9" l="1"/>
  <c r="D22" i="9" s="1"/>
  <c r="J22" i="9"/>
  <c r="M20" i="9"/>
  <c r="Q19" i="9"/>
  <c r="I19" i="9"/>
  <c r="E20" i="9"/>
  <c r="G20" i="9" s="1"/>
  <c r="F20" i="9"/>
  <c r="L21" i="9"/>
  <c r="E21" i="9"/>
  <c r="F21" i="9"/>
  <c r="L22" i="9"/>
  <c r="N20" i="9"/>
  <c r="A23" i="9"/>
  <c r="B23" i="9" l="1"/>
  <c r="D23" i="9" s="1"/>
  <c r="J23" i="9"/>
  <c r="L23" i="9" s="1"/>
  <c r="G21" i="9"/>
  <c r="O20" i="9"/>
  <c r="M22" i="9"/>
  <c r="M21" i="9"/>
  <c r="R19" i="9"/>
  <c r="P20" i="9"/>
  <c r="E22" i="9"/>
  <c r="F22" i="9"/>
  <c r="H21" i="9"/>
  <c r="N21" i="9"/>
  <c r="H20" i="9"/>
  <c r="N22" i="9"/>
  <c r="A24" i="9"/>
  <c r="G22" i="9" l="1"/>
  <c r="B24" i="9"/>
  <c r="D24" i="9" s="1"/>
  <c r="J24" i="9"/>
  <c r="O21" i="9"/>
  <c r="O22" i="9"/>
  <c r="M23" i="9"/>
  <c r="P22" i="9"/>
  <c r="I21" i="9"/>
  <c r="Q20" i="9"/>
  <c r="I20" i="9"/>
  <c r="H22" i="9"/>
  <c r="P21" i="9"/>
  <c r="N23" i="9"/>
  <c r="A25" i="9"/>
  <c r="O23" i="9" l="1"/>
  <c r="I22" i="9"/>
  <c r="B25" i="9"/>
  <c r="D25" i="9" s="1"/>
  <c r="J25" i="9"/>
  <c r="L25" i="9" s="1"/>
  <c r="Q22" i="9"/>
  <c r="Q21" i="9"/>
  <c r="R21" i="9" s="1"/>
  <c r="R20" i="9"/>
  <c r="P23" i="9"/>
  <c r="E23" i="9"/>
  <c r="G23" i="9" s="1"/>
  <c r="F23" i="9"/>
  <c r="L24" i="9"/>
  <c r="A26" i="9"/>
  <c r="Q23" i="9" l="1"/>
  <c r="R22" i="9"/>
  <c r="J26" i="9"/>
  <c r="L26" i="9" s="1"/>
  <c r="B26" i="9"/>
  <c r="D26" i="9" s="1"/>
  <c r="M25" i="9"/>
  <c r="M24" i="9"/>
  <c r="H23" i="9"/>
  <c r="I23" i="9" s="1"/>
  <c r="E24" i="9"/>
  <c r="F24" i="9"/>
  <c r="N25" i="9"/>
  <c r="N24" i="9"/>
  <c r="A27" i="9"/>
  <c r="G24" i="9" l="1"/>
  <c r="J27" i="9"/>
  <c r="L27" i="9" s="1"/>
  <c r="B27" i="9"/>
  <c r="D27" i="9" s="1"/>
  <c r="O25" i="9"/>
  <c r="O24" i="9"/>
  <c r="M26" i="9"/>
  <c r="R23" i="9"/>
  <c r="H24" i="9"/>
  <c r="N26" i="9"/>
  <c r="P24" i="9"/>
  <c r="E26" i="9"/>
  <c r="F26" i="9"/>
  <c r="P25" i="9"/>
  <c r="E25" i="9"/>
  <c r="F25" i="9"/>
  <c r="A28" i="9"/>
  <c r="I24" i="9" l="1"/>
  <c r="G26" i="9"/>
  <c r="B28" i="9"/>
  <c r="D28" i="9" s="1"/>
  <c r="J28" i="9"/>
  <c r="L28" i="9" s="1"/>
  <c r="G25" i="9"/>
  <c r="O26" i="9"/>
  <c r="M27" i="9"/>
  <c r="Q24" i="9"/>
  <c r="H26" i="9"/>
  <c r="Q25" i="9"/>
  <c r="P26" i="9"/>
  <c r="E27" i="9"/>
  <c r="G27" i="9" s="1"/>
  <c r="F27" i="9"/>
  <c r="N27" i="9"/>
  <c r="H25" i="9"/>
  <c r="A29" i="9"/>
  <c r="O27" i="9" l="1"/>
  <c r="R24" i="9"/>
  <c r="B29" i="9"/>
  <c r="D29" i="9" s="1"/>
  <c r="J29" i="9"/>
  <c r="L29" i="9" s="1"/>
  <c r="Q26" i="9"/>
  <c r="I25" i="9"/>
  <c r="R25" i="9" s="1"/>
  <c r="M28" i="9"/>
  <c r="I26" i="9"/>
  <c r="P27" i="9"/>
  <c r="H27" i="9"/>
  <c r="I27" i="9" s="1"/>
  <c r="N28" i="9"/>
  <c r="A30" i="9"/>
  <c r="R26" i="9" l="1"/>
  <c r="B30" i="9"/>
  <c r="J30" i="9"/>
  <c r="L30" i="9" s="1"/>
  <c r="O28" i="9"/>
  <c r="M29" i="9"/>
  <c r="P28" i="9"/>
  <c r="Q27" i="9"/>
  <c r="R27" i="9" s="1"/>
  <c r="E28" i="9"/>
  <c r="F28" i="9"/>
  <c r="D30" i="9"/>
  <c r="N29" i="9"/>
  <c r="A31" i="9"/>
  <c r="G28" i="9" l="1"/>
  <c r="O29" i="9"/>
  <c r="J31" i="9"/>
  <c r="B31" i="9"/>
  <c r="D31" i="9" s="1"/>
  <c r="M30" i="9"/>
  <c r="P29" i="9"/>
  <c r="Q28" i="9"/>
  <c r="L31" i="9"/>
  <c r="E29" i="9"/>
  <c r="G29" i="9" s="1"/>
  <c r="F29" i="9"/>
  <c r="H28" i="9"/>
  <c r="N30" i="9"/>
  <c r="E30" i="9"/>
  <c r="F30" i="9"/>
  <c r="A32" i="9"/>
  <c r="I28" i="9" l="1"/>
  <c r="G30" i="9"/>
  <c r="B32" i="9"/>
  <c r="D32" i="9" s="1"/>
  <c r="J32" i="9"/>
  <c r="O30" i="9"/>
  <c r="M31" i="9"/>
  <c r="R28" i="9"/>
  <c r="P30" i="9"/>
  <c r="Q29" i="9"/>
  <c r="H30" i="9"/>
  <c r="H29" i="9"/>
  <c r="I29" i="9" s="1"/>
  <c r="N31" i="9"/>
  <c r="A33" i="9"/>
  <c r="B33" i="9" l="1"/>
  <c r="D33" i="9" s="1"/>
  <c r="J33" i="9"/>
  <c r="L33" i="9" s="1"/>
  <c r="O31" i="9"/>
  <c r="R29" i="9"/>
  <c r="I30" i="9"/>
  <c r="P31" i="9"/>
  <c r="Q30" i="9"/>
  <c r="L32" i="9"/>
  <c r="E31" i="9"/>
  <c r="F31" i="9"/>
  <c r="A34" i="9"/>
  <c r="J34" i="9" l="1"/>
  <c r="L34" i="9" s="1"/>
  <c r="B34" i="9"/>
  <c r="D34" i="9" s="1"/>
  <c r="G31" i="9"/>
  <c r="Q31" i="9"/>
  <c r="M33" i="9"/>
  <c r="M32" i="9"/>
  <c r="R30" i="9"/>
  <c r="E32" i="9"/>
  <c r="F32" i="9"/>
  <c r="E33" i="9"/>
  <c r="F33" i="9"/>
  <c r="N32" i="9"/>
  <c r="H31" i="9"/>
  <c r="N33" i="9"/>
  <c r="A35" i="9"/>
  <c r="G32" i="9" l="1"/>
  <c r="G33" i="9"/>
  <c r="J35" i="9"/>
  <c r="B35" i="9"/>
  <c r="I31" i="9"/>
  <c r="R31" i="9" s="1"/>
  <c r="O32" i="9"/>
  <c r="O33" i="9"/>
  <c r="M34" i="9"/>
  <c r="H33" i="9"/>
  <c r="P33" i="9"/>
  <c r="H32" i="9"/>
  <c r="P32" i="9"/>
  <c r="E34" i="9"/>
  <c r="F34" i="9"/>
  <c r="L35" i="9"/>
  <c r="D35" i="9"/>
  <c r="N34" i="9"/>
  <c r="A36" i="9"/>
  <c r="I32" i="9" l="1"/>
  <c r="G34" i="9"/>
  <c r="B36" i="9"/>
  <c r="D36" i="9" s="1"/>
  <c r="J36" i="9"/>
  <c r="Q32" i="9"/>
  <c r="O34" i="9"/>
  <c r="M35" i="9"/>
  <c r="O35" i="9" s="1"/>
  <c r="P34" i="9"/>
  <c r="I33" i="9"/>
  <c r="Q33" i="9"/>
  <c r="H34" i="9"/>
  <c r="N35" i="9"/>
  <c r="A37" i="9"/>
  <c r="R32" i="9" l="1"/>
  <c r="Q34" i="9"/>
  <c r="I34" i="9"/>
  <c r="J37" i="9"/>
  <c r="L37" i="9" s="1"/>
  <c r="B37" i="9"/>
  <c r="D37" i="9" s="1"/>
  <c r="R33" i="9"/>
  <c r="P35" i="9"/>
  <c r="Q35" i="9" s="1"/>
  <c r="E35" i="9"/>
  <c r="F35" i="9"/>
  <c r="L36" i="9"/>
  <c r="A38" i="9"/>
  <c r="R34" i="9" l="1"/>
  <c r="G35" i="9"/>
  <c r="J38" i="9"/>
  <c r="B38" i="9"/>
  <c r="D38" i="9" s="1"/>
  <c r="M36" i="9"/>
  <c r="M37" i="9"/>
  <c r="N36" i="9"/>
  <c r="N37" i="9"/>
  <c r="E36" i="9"/>
  <c r="F36" i="9"/>
  <c r="H35" i="9"/>
  <c r="A39" i="9"/>
  <c r="G36" i="9" l="1"/>
  <c r="O36" i="9"/>
  <c r="I35" i="9"/>
  <c r="R35" i="9" s="1"/>
  <c r="J39" i="9"/>
  <c r="B39" i="9"/>
  <c r="D39" i="9" s="1"/>
  <c r="P37" i="9"/>
  <c r="O37" i="9"/>
  <c r="P36" i="9"/>
  <c r="E37" i="9"/>
  <c r="G37" i="9" s="1"/>
  <c r="F37" i="9"/>
  <c r="H36" i="9"/>
  <c r="L38" i="9"/>
  <c r="A40" i="9"/>
  <c r="I36" i="9" l="1"/>
  <c r="B40" i="9"/>
  <c r="D40" i="9" s="1"/>
  <c r="J40" i="9"/>
  <c r="Q37" i="9"/>
  <c r="M38" i="9"/>
  <c r="Q36" i="9"/>
  <c r="N38" i="9"/>
  <c r="L39" i="9"/>
  <c r="E38" i="9"/>
  <c r="F38" i="9"/>
  <c r="H37" i="9"/>
  <c r="I37" i="9" s="1"/>
  <c r="A41" i="9"/>
  <c r="R36" i="9" l="1"/>
  <c r="R37" i="9"/>
  <c r="O38" i="9"/>
  <c r="J41" i="9"/>
  <c r="L41" i="9" s="1"/>
  <c r="B41" i="9"/>
  <c r="D41" i="9" s="1"/>
  <c r="G38" i="9"/>
  <c r="M39" i="9"/>
  <c r="P38" i="9"/>
  <c r="N39" i="9"/>
  <c r="L40" i="9"/>
  <c r="H38" i="9"/>
  <c r="F39" i="9"/>
  <c r="E39" i="9"/>
  <c r="G39" i="9" s="1"/>
  <c r="A42" i="9"/>
  <c r="O39" i="9" l="1"/>
  <c r="Q38" i="9"/>
  <c r="J42" i="9"/>
  <c r="L42" i="9" s="1"/>
  <c r="B42" i="9"/>
  <c r="D42" i="9" s="1"/>
  <c r="I38" i="9"/>
  <c r="M40" i="9"/>
  <c r="M41" i="9"/>
  <c r="N41" i="9"/>
  <c r="N40" i="9"/>
  <c r="E40" i="9"/>
  <c r="F40" i="9"/>
  <c r="H39" i="9"/>
  <c r="I39" i="9" s="1"/>
  <c r="P39" i="9"/>
  <c r="A43" i="9"/>
  <c r="O41" i="9" l="1"/>
  <c r="R38" i="9"/>
  <c r="J43" i="9"/>
  <c r="L43" i="9" s="1"/>
  <c r="B43" i="9"/>
  <c r="D43" i="9" s="1"/>
  <c r="G40" i="9"/>
  <c r="O40" i="9"/>
  <c r="M42" i="9"/>
  <c r="Q39" i="9"/>
  <c r="R39" i="9" s="1"/>
  <c r="P40" i="9"/>
  <c r="H40" i="9"/>
  <c r="P41" i="9"/>
  <c r="F41" i="9"/>
  <c r="E41" i="9"/>
  <c r="G41" i="9" s="1"/>
  <c r="N42" i="9"/>
  <c r="A44" i="9"/>
  <c r="O42" i="9" l="1"/>
  <c r="B44" i="9"/>
  <c r="D44" i="9" s="1"/>
  <c r="J44" i="9"/>
  <c r="I40" i="9"/>
  <c r="Q40" i="9"/>
  <c r="M43" i="9"/>
  <c r="Q41" i="9"/>
  <c r="P42" i="9"/>
  <c r="H41" i="9"/>
  <c r="I41" i="9" s="1"/>
  <c r="N43" i="9"/>
  <c r="E42" i="9"/>
  <c r="G42" i="9" s="1"/>
  <c r="F42" i="9"/>
  <c r="A45" i="9"/>
  <c r="Q42" i="9" l="1"/>
  <c r="R40" i="9"/>
  <c r="B45" i="9"/>
  <c r="D45" i="9" s="1"/>
  <c r="J45" i="9"/>
  <c r="O43" i="9"/>
  <c r="R41" i="9"/>
  <c r="P43" i="9"/>
  <c r="E43" i="9"/>
  <c r="F43" i="9"/>
  <c r="H42" i="9"/>
  <c r="I42" i="9" s="1"/>
  <c r="L44" i="9"/>
  <c r="A46" i="9"/>
  <c r="R42" i="9" l="1"/>
  <c r="G43" i="9"/>
  <c r="J46" i="9"/>
  <c r="B46" i="9"/>
  <c r="D46" i="9" s="1"/>
  <c r="Q43" i="9"/>
  <c r="M44" i="9"/>
  <c r="E44" i="9"/>
  <c r="G44" i="9" s="1"/>
  <c r="F44" i="9"/>
  <c r="L45" i="9"/>
  <c r="N44" i="9"/>
  <c r="H43" i="9"/>
  <c r="A47" i="9"/>
  <c r="B47" i="9" l="1"/>
  <c r="D47" i="9" s="1"/>
  <c r="J47" i="9"/>
  <c r="O44" i="9"/>
  <c r="M45" i="9"/>
  <c r="I43" i="9"/>
  <c r="R43" i="9" s="1"/>
  <c r="F45" i="9"/>
  <c r="E45" i="9"/>
  <c r="N45" i="9"/>
  <c r="H44" i="9"/>
  <c r="P44" i="9"/>
  <c r="L46" i="9"/>
  <c r="A48" i="9"/>
  <c r="O45" i="9" l="1"/>
  <c r="Q44" i="9"/>
  <c r="B48" i="9"/>
  <c r="D48" i="9" s="1"/>
  <c r="J48" i="9"/>
  <c r="G45" i="9"/>
  <c r="M46" i="9"/>
  <c r="P45" i="9"/>
  <c r="N46" i="9"/>
  <c r="E46" i="9"/>
  <c r="G46" i="9" s="1"/>
  <c r="F46" i="9"/>
  <c r="H45" i="9"/>
  <c r="L47" i="9"/>
  <c r="I44" i="9"/>
  <c r="A49" i="9"/>
  <c r="Q45" i="9" l="1"/>
  <c r="R44" i="9"/>
  <c r="B49" i="9"/>
  <c r="J49" i="9"/>
  <c r="O46" i="9"/>
  <c r="M47" i="9"/>
  <c r="I45" i="9"/>
  <c r="P46" i="9"/>
  <c r="H46" i="9"/>
  <c r="I46" i="9" s="1"/>
  <c r="N47" i="9"/>
  <c r="L48" i="9"/>
  <c r="E47" i="9"/>
  <c r="F47" i="9"/>
  <c r="D49" i="9"/>
  <c r="A50" i="9"/>
  <c r="R45" i="9" l="1"/>
  <c r="G47" i="9"/>
  <c r="J50" i="9"/>
  <c r="B50" i="9"/>
  <c r="D50" i="9" s="1"/>
  <c r="Q46" i="9"/>
  <c r="R46" i="9" s="1"/>
  <c r="O47" i="9"/>
  <c r="M48" i="9"/>
  <c r="P47" i="9"/>
  <c r="H47" i="9"/>
  <c r="N48" i="9"/>
  <c r="E48" i="9"/>
  <c r="F48" i="9"/>
  <c r="L49" i="9"/>
  <c r="A51" i="9"/>
  <c r="G48" i="9" l="1"/>
  <c r="I47" i="9"/>
  <c r="O48" i="9"/>
  <c r="J51" i="9"/>
  <c r="B51" i="9"/>
  <c r="D51" i="9" s="1"/>
  <c r="Q47" i="9"/>
  <c r="M49" i="9"/>
  <c r="P48" i="9"/>
  <c r="H48" i="9"/>
  <c r="I48" i="9" s="1"/>
  <c r="N49" i="9"/>
  <c r="E49" i="9"/>
  <c r="F49" i="9"/>
  <c r="L50" i="9"/>
  <c r="A52" i="9"/>
  <c r="R47" i="9" l="1"/>
  <c r="Q48" i="9"/>
  <c r="R48" i="9" s="1"/>
  <c r="B52" i="9"/>
  <c r="D52" i="9" s="1"/>
  <c r="J52" i="9"/>
  <c r="L52" i="9" s="1"/>
  <c r="G49" i="9"/>
  <c r="O49" i="9"/>
  <c r="M50" i="9"/>
  <c r="P49" i="9"/>
  <c r="L51" i="9"/>
  <c r="N50" i="9"/>
  <c r="E50" i="9"/>
  <c r="G50" i="9" s="1"/>
  <c r="F50" i="9"/>
  <c r="H49" i="9"/>
  <c r="A53" i="9"/>
  <c r="O50" i="9" l="1"/>
  <c r="I49" i="9"/>
  <c r="B53" i="9"/>
  <c r="D53" i="9" s="1"/>
  <c r="J53" i="9"/>
  <c r="L53" i="9" s="1"/>
  <c r="Q49" i="9"/>
  <c r="M51" i="9"/>
  <c r="M52" i="9"/>
  <c r="E51" i="9"/>
  <c r="F51" i="9"/>
  <c r="N52" i="9"/>
  <c r="N51" i="9"/>
  <c r="P50" i="9"/>
  <c r="H50" i="9"/>
  <c r="I50" i="9" s="1"/>
  <c r="A54" i="9"/>
  <c r="Q50" i="9" l="1"/>
  <c r="R50" i="9" s="1"/>
  <c r="R49" i="9"/>
  <c r="J54" i="9"/>
  <c r="L54" i="9" s="1"/>
  <c r="B54" i="9"/>
  <c r="D54" i="9" s="1"/>
  <c r="G51" i="9"/>
  <c r="O52" i="9"/>
  <c r="O51" i="9"/>
  <c r="M53" i="9"/>
  <c r="P52" i="9"/>
  <c r="P51" i="9"/>
  <c r="H51" i="9"/>
  <c r="N53" i="9"/>
  <c r="F52" i="9"/>
  <c r="E52" i="9"/>
  <c r="G52" i="9" s="1"/>
  <c r="A55" i="9"/>
  <c r="O53" i="9" l="1"/>
  <c r="Q52" i="9"/>
  <c r="I51" i="9"/>
  <c r="Q51" i="9"/>
  <c r="B55" i="9"/>
  <c r="D55" i="9" s="1"/>
  <c r="J55" i="9"/>
  <c r="M54" i="9"/>
  <c r="P53" i="9"/>
  <c r="Q53" i="9" s="1"/>
  <c r="E53" i="9"/>
  <c r="G53" i="9" s="1"/>
  <c r="F53" i="9"/>
  <c r="N54" i="9"/>
  <c r="H52" i="9"/>
  <c r="I52" i="9" s="1"/>
  <c r="A56" i="9"/>
  <c r="R51" i="9" l="1"/>
  <c r="R52" i="9"/>
  <c r="B56" i="9"/>
  <c r="D56" i="9" s="1"/>
  <c r="J56" i="9"/>
  <c r="L56" i="9" s="1"/>
  <c r="O54" i="9"/>
  <c r="P54" i="9"/>
  <c r="L55" i="9"/>
  <c r="F54" i="9"/>
  <c r="E54" i="9"/>
  <c r="G54" i="9" s="1"/>
  <c r="H53" i="9"/>
  <c r="A57" i="9"/>
  <c r="B57" i="9" l="1"/>
  <c r="D57" i="9" s="1"/>
  <c r="J57" i="9"/>
  <c r="Q54" i="9"/>
  <c r="M56" i="9"/>
  <c r="M55" i="9"/>
  <c r="O55" i="9" s="1"/>
  <c r="I53" i="9"/>
  <c r="R53" i="9" s="1"/>
  <c r="N56" i="9"/>
  <c r="F55" i="9"/>
  <c r="E55" i="9"/>
  <c r="G55" i="9" s="1"/>
  <c r="H54" i="9"/>
  <c r="N55" i="9"/>
  <c r="A58" i="9"/>
  <c r="J58" i="9" l="1"/>
  <c r="L58" i="9" s="1"/>
  <c r="B58" i="9"/>
  <c r="D58" i="9" s="1"/>
  <c r="O56" i="9"/>
  <c r="P56" i="9"/>
  <c r="H55" i="9"/>
  <c r="I55" i="9" s="1"/>
  <c r="F56" i="9"/>
  <c r="E56" i="9"/>
  <c r="G56" i="9" s="1"/>
  <c r="P55" i="9"/>
  <c r="Q55" i="9" s="1"/>
  <c r="I54" i="9"/>
  <c r="R54" i="9" s="1"/>
  <c r="L57" i="9"/>
  <c r="A59" i="9"/>
  <c r="A60" i="9" l="1"/>
  <c r="J59" i="9"/>
  <c r="B59" i="9"/>
  <c r="D59" i="9" s="1"/>
  <c r="Q56" i="9"/>
  <c r="M58" i="9"/>
  <c r="M57" i="9"/>
  <c r="H56" i="9"/>
  <c r="I56" i="9" s="1"/>
  <c r="N57" i="9"/>
  <c r="F57" i="9"/>
  <c r="E57" i="9"/>
  <c r="G57" i="9" s="1"/>
  <c r="N58" i="9"/>
  <c r="R55" i="9"/>
  <c r="O57" i="9" l="1"/>
  <c r="R56" i="9"/>
  <c r="B60" i="9"/>
  <c r="D60" i="9" s="1"/>
  <c r="J60" i="9"/>
  <c r="L60" i="9" s="1"/>
  <c r="P58" i="9"/>
  <c r="O58" i="9"/>
  <c r="F58" i="9"/>
  <c r="E58" i="9"/>
  <c r="L59" i="9"/>
  <c r="P57" i="9"/>
  <c r="H57" i="9"/>
  <c r="Q57" i="9" l="1"/>
  <c r="G58" i="9"/>
  <c r="Q58" i="9"/>
  <c r="M60" i="9"/>
  <c r="O60" i="9" s="1"/>
  <c r="M59" i="9"/>
  <c r="D6" i="9"/>
  <c r="B3" i="10" s="1"/>
  <c r="B7" i="10" s="1"/>
  <c r="B8" i="10" s="1"/>
  <c r="L6" i="9"/>
  <c r="I57" i="9"/>
  <c r="E60" i="9"/>
  <c r="G60" i="9" s="1"/>
  <c r="F60" i="9"/>
  <c r="N60" i="9"/>
  <c r="N59" i="9"/>
  <c r="E59" i="9"/>
  <c r="F59" i="9"/>
  <c r="H58" i="9"/>
  <c r="O59" i="9" l="1"/>
  <c r="R57" i="9"/>
  <c r="G59" i="9"/>
  <c r="N6" i="9"/>
  <c r="F6" i="9"/>
  <c r="B9" i="10" s="1"/>
  <c r="B10" i="10" s="1"/>
  <c r="P60" i="9"/>
  <c r="H60" i="9"/>
  <c r="I60" i="9" s="1"/>
  <c r="H59" i="9"/>
  <c r="C3" i="10"/>
  <c r="C7" i="10" s="1"/>
  <c r="C8" i="10" s="1"/>
  <c r="P59" i="9"/>
  <c r="I58" i="9"/>
  <c r="R58" i="9" s="1"/>
  <c r="I59" i="9" l="1"/>
  <c r="I6" i="9" s="1"/>
  <c r="P6" i="9"/>
  <c r="H6" i="9"/>
  <c r="Q60" i="9"/>
  <c r="R60" i="9" s="1"/>
  <c r="O6" i="9"/>
  <c r="C11" i="10" s="1"/>
  <c r="C9" i="10"/>
  <c r="Q59" i="9"/>
  <c r="G6" i="9"/>
  <c r="Q6" i="9" l="1"/>
  <c r="R59" i="9"/>
  <c r="C10" i="10"/>
  <c r="C13" i="10" s="1"/>
  <c r="B11" i="10"/>
  <c r="B12" i="10" l="1"/>
  <c r="B16" i="10" s="1"/>
  <c r="B13" i="10"/>
  <c r="C12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tc={5342892D-D601-5C47-BC53-55CD25ECDD9E}</author>
  </authors>
  <commentList>
    <comment ref="B4" authorId="0" shapeId="0" xr:uid="{5342892D-D601-5C47-BC53-55CD25ECDD9E}">
      <text>
        <t>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Captura únicamente la Parte Gravada</t>
      </text>
    </comment>
  </commentList>
</comments>
</file>

<file path=xl/sharedStrings.xml><?xml version="1.0" encoding="utf-8"?>
<sst xmlns="http://schemas.openxmlformats.org/spreadsheetml/2006/main" count="168" uniqueCount="109">
  <si>
    <t>% EXCEDENTE</t>
  </si>
  <si>
    <t>LIMITE INFERIOR</t>
  </si>
  <si>
    <t>CUOTA FIJA</t>
  </si>
  <si>
    <t>Limite Inferior</t>
  </si>
  <si>
    <t>Subsidio</t>
  </si>
  <si>
    <t>Veces de SMG</t>
  </si>
  <si>
    <t>Grafica de Comportamiento de Ambas Leyes:</t>
  </si>
  <si>
    <t>Ley Actual</t>
  </si>
  <si>
    <t>Reforma</t>
  </si>
  <si>
    <t>En adelante</t>
  </si>
  <si>
    <t>Salario Diario</t>
  </si>
  <si>
    <t>Si</t>
  </si>
  <si>
    <t>No</t>
  </si>
  <si>
    <t>Opciones2</t>
  </si>
  <si>
    <t>Sub Mensual</t>
  </si>
  <si>
    <t>%</t>
  </si>
  <si>
    <t>Cuota Fija</t>
  </si>
  <si>
    <t>Periodos</t>
  </si>
  <si>
    <t>Detallado de Acumulados Anuales para Calculo Anual</t>
  </si>
  <si>
    <t>% Exedente L.I.</t>
  </si>
  <si>
    <t>Ctrl</t>
  </si>
  <si>
    <t>Ingresos de</t>
  </si>
  <si>
    <t>Hasta</t>
  </si>
  <si>
    <t>Conceptos</t>
  </si>
  <si>
    <t>ISR a PAGAR</t>
  </si>
  <si>
    <t>Subsidio Corresponde</t>
  </si>
  <si>
    <t>ISR Tarifa</t>
  </si>
  <si>
    <t>Total</t>
  </si>
  <si>
    <t>PTU</t>
  </si>
  <si>
    <t>Prima Vacacional</t>
  </si>
  <si>
    <t>Aguinaldo</t>
  </si>
  <si>
    <t>Periodos Normales</t>
  </si>
  <si>
    <t>Saldo a FAVOR</t>
  </si>
  <si>
    <t>Dias Periodo</t>
  </si>
  <si>
    <t>Ingreso Neto</t>
  </si>
  <si>
    <t>% Incremento</t>
  </si>
  <si>
    <t>Dias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</si>
  <si>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</si>
  <si>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</si>
  <si>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</si>
  <si>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</si>
  <si>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</si>
  <si>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</si>
  <si>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</si>
  <si>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</si>
  <si>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</si>
  <si>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</si>
  <si>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</si>
  <si>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</si>
  <si>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</si>
  <si>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Tabla Base Mensual Subsidio 2022</t>
  </si>
  <si>
    <t>TABLA2022</t>
  </si>
  <si>
    <t>Subsidio2022</t>
  </si>
  <si>
    <t>Tarifa Mensual Base 2021</t>
  </si>
  <si>
    <t>Anual2022</t>
  </si>
  <si>
    <t>Subsidio Correspondiente 2022</t>
  </si>
  <si>
    <t>Ingreso Gravado 2022</t>
  </si>
  <si>
    <t>ISR Directo 2022</t>
  </si>
  <si>
    <t>Subsidio Entregado 2022</t>
  </si>
  <si>
    <t>Ingreso Gravado 2023</t>
  </si>
  <si>
    <t>ISR Directo 2023</t>
  </si>
  <si>
    <t>Subsidio Causado 2023</t>
  </si>
  <si>
    <t>Subsidio Entregado 2023</t>
  </si>
  <si>
    <t>Tarifa Mensual Base Actualizada el día:</t>
  </si>
  <si>
    <t>Nuevo Quinto Limite</t>
  </si>
  <si>
    <t>Tarifa Anualizada Base Actualizada el día:</t>
  </si>
  <si>
    <t>Tarifa Mensual Base 2022</t>
  </si>
  <si>
    <t>Publicada el 12 de Enero de 2022</t>
  </si>
  <si>
    <t>TABLA2023</t>
  </si>
  <si>
    <t>Anual2023</t>
  </si>
  <si>
    <t>D I A R I O</t>
  </si>
  <si>
    <t>SEMANAL</t>
  </si>
  <si>
    <t>Cálculo 2022</t>
  </si>
  <si>
    <t>Cálculo 2023</t>
  </si>
  <si>
    <t>CÁLCULO ANUAL CON PERIODOS RETENIENDO CORRECTAMENTE</t>
  </si>
  <si>
    <t>Cálculo de ISR Anual</t>
  </si>
  <si>
    <t>Retención en Pagos Provisionales</t>
  </si>
  <si>
    <t>Elaborada Por:</t>
  </si>
  <si>
    <t>Benito Barragán Rangel</t>
  </si>
  <si>
    <t>Consultoría e Investigación Fiscal Digital CONTPAQi®</t>
  </si>
  <si>
    <t>Fabiola Magaña Alejo</t>
  </si>
  <si>
    <t>Jorge Enrique Benítez Barba</t>
  </si>
  <si>
    <t>Generación de Conocimiento</t>
  </si>
  <si>
    <t>El salario mínimo es la cantidad mínima recibida por jornada de trabajo.</t>
  </si>
  <si>
    <t>La Comisión Nacional de los Salarios Mínimos acordó los salarios mínimos vigentes a partir del 1o. De enero del 2023 para quedar como siguen:</t>
  </si>
  <si>
    <t>*10% por inflación más $23.67 por concepto de Movimiento Independiente de Recuperación (MIR)</t>
  </si>
  <si>
    <t>Zona Libre de Frontera Norte</t>
  </si>
  <si>
    <t>*10% por inflación más $ 15.72 por concepto de Movimiento Independiente de Recuperación (MIR)</t>
  </si>
  <si>
    <t>Resto del país</t>
  </si>
  <si>
    <t>Este incremento se otorga de la siguiente forma : Por inflación  10% y cómo  Movimiento Independiente de Recuperación  para dar un total de incremento del 20%.</t>
  </si>
  <si>
    <t>En esta cédula podrás revisar el impacto de los nuevos salarios mínimos que entran en vigor en Enero de 2023. Así como el impacto en el cálculo anual.</t>
  </si>
  <si>
    <t>Para mayor detalle consulta:</t>
  </si>
  <si>
    <t>https://conocimiento.blob.core.windows.net/conocimiento/Manuales/Reforma_Fiscal_2022/SalariosMinimos2023/index.htm#</t>
  </si>
  <si>
    <t>Instrucciones:</t>
  </si>
  <si>
    <t>Podrás personalizar los cálculos capturando en las celdas marcadas en color amarillo para personalizar los días del periodo y periodos del año, así como el salario diario del trabajador.</t>
  </si>
  <si>
    <t>En la pestaña Cálculo Anual podrás capturar las partes gravadas para cada rubro.</t>
  </si>
  <si>
    <t>Versión de la Cédula:</t>
  </si>
  <si>
    <t>Periodo</t>
  </si>
  <si>
    <t>Retención ISR 2023</t>
  </si>
  <si>
    <t>Retención ISR 2022</t>
  </si>
  <si>
    <t>Ingresos Extras Gravados</t>
  </si>
  <si>
    <t>Versión d 14-Dic-2022</t>
  </si>
  <si>
    <t>Salario Minimo</t>
  </si>
  <si>
    <t>Salario Diario Análisis</t>
  </si>
  <si>
    <t>UMA</t>
  </si>
  <si>
    <t>Salario</t>
  </si>
  <si>
    <t>Ingreso Total</t>
  </si>
  <si>
    <t>Ingreso Exento</t>
  </si>
  <si>
    <t>Total Gravado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</si>
</sst>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0_-;\-* #,##0.000000_-;_-* &quot;-&quot;??_-;_-@_-"/>
    <numFmt numFmtId="167" formatCode="#,##0.00000;\-#,##0.00000"/>
    <numFmt numFmtId="168" formatCode="#,##0.000000;\-#,##0.000000"/>
    <numFmt numFmtId="169" formatCode="#,##0.00000000;\-#,##0.00000000"/>
    <numFmt numFmtId="170" formatCode="0.000%"/>
    <numFmt numFmtId="171" formatCode="0.00000"/>
  </numFmts>
  <fonts count="23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u/>
      <sz val="9"/>
      <color indexed="12"/>
      <name val="Helv"/>
    </font>
    <font>
      <u/>
      <sz val="10"/>
      <color indexed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b/>
      <sz val="12"/>
      <name val="Helv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4"/>
      <color indexed="12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9"/>
      <name val="Helv"/>
    </font>
    <font>
      <sz val="9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8">
    <xf numFmtId="39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</cellStyleXfs>
  <cellXfs count="112">
    <xf numFmtId="39" fontId="0" fillId="0" borderId="0" xfId="0"/>
    <xf numFmtId="39" fontId="0" fillId="0" borderId="1" xfId="0" applyBorder="1" applyAlignment="1">
      <alignment horizontal="center" vertical="center" wrapText="1"/>
    </xf>
    <xf numFmtId="39" fontId="2" fillId="5" borderId="1" xfId="0" applyFont="1" applyFill="1" applyBorder="1" applyAlignment="1" applyProtection="1">
      <alignment horizontal="center" vertical="center" wrapText="1"/>
      <protection hidden="1"/>
    </xf>
    <xf numFmtId="39" fontId="2" fillId="0" borderId="0" xfId="0" applyFont="1" applyProtection="1">
      <protection hidden="1"/>
    </xf>
    <xf numFmtId="39" fontId="6" fillId="0" borderId="0" xfId="0" applyFont="1"/>
    <xf numFmtId="39" fontId="7" fillId="0" borderId="0" xfId="0" applyFont="1" applyAlignment="1">
      <alignment horizontal="center" vertical="center"/>
    </xf>
    <xf numFmtId="39" fontId="8" fillId="8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6" applyBorder="1" applyAlignment="1">
      <alignment horizontal="center"/>
    </xf>
    <xf numFmtId="166" fontId="9" fillId="9" borderId="1" xfId="7" applyNumberFormat="1" applyFont="1" applyFill="1" applyBorder="1"/>
    <xf numFmtId="0" fontId="10" fillId="0" borderId="0" xfId="6"/>
    <xf numFmtId="0" fontId="9" fillId="9" borderId="1" xfId="6" applyFont="1" applyFill="1" applyBorder="1"/>
    <xf numFmtId="166" fontId="11" fillId="0" borderId="1" xfId="7" applyNumberFormat="1" applyFont="1" applyBorder="1" applyAlignment="1">
      <alignment horizontal="right" vertical="center"/>
    </xf>
    <xf numFmtId="166" fontId="0" fillId="0" borderId="0" xfId="7" applyNumberFormat="1" applyFont="1"/>
    <xf numFmtId="166" fontId="0" fillId="7" borderId="1" xfId="7" applyNumberFormat="1" applyFont="1" applyFill="1" applyBorder="1"/>
    <xf numFmtId="39" fontId="2" fillId="5" borderId="1" xfId="0" applyFont="1" applyFill="1" applyBorder="1" applyAlignment="1" applyProtection="1">
      <alignment horizontal="right" vertical="center" wrapText="1"/>
      <protection hidden="1"/>
    </xf>
    <xf numFmtId="39" fontId="8" fillId="8" borderId="1" xfId="0" applyFont="1" applyFill="1" applyBorder="1" applyAlignment="1" applyProtection="1">
      <alignment horizontal="right" vertical="center" wrapText="1"/>
      <protection hidden="1"/>
    </xf>
    <xf numFmtId="39" fontId="2" fillId="2" borderId="0" xfId="0" applyFont="1" applyFill="1" applyProtection="1">
      <protection hidden="1"/>
    </xf>
    <xf numFmtId="164" fontId="2" fillId="0" borderId="0" xfId="2" applyFont="1" applyProtection="1">
      <protection hidden="1"/>
    </xf>
    <xf numFmtId="164" fontId="2" fillId="3" borderId="0" xfId="2" applyFont="1" applyFill="1" applyAlignment="1" applyProtection="1">
      <alignment horizontal="center"/>
      <protection hidden="1"/>
    </xf>
    <xf numFmtId="39" fontId="2" fillId="0" borderId="1" xfId="0" applyFont="1" applyBorder="1" applyAlignment="1" applyProtection="1">
      <alignment horizontal="center" vertical="center" wrapText="1"/>
      <protection hidden="1"/>
    </xf>
    <xf numFmtId="10" fontId="2" fillId="0" borderId="0" xfId="3" applyNumberFormat="1" applyFont="1" applyAlignment="1" applyProtection="1">
      <alignment horizontal="right"/>
      <protection hidden="1"/>
    </xf>
    <xf numFmtId="39" fontId="2" fillId="3" borderId="0" xfId="0" applyFont="1" applyFill="1" applyAlignment="1" applyProtection="1">
      <alignment horizontal="center" vertical="center" wrapText="1"/>
      <protection hidden="1"/>
    </xf>
    <xf numFmtId="39" fontId="2" fillId="0" borderId="0" xfId="0" applyFont="1" applyAlignment="1" applyProtection="1">
      <alignment horizontal="center" vertical="center" wrapText="1"/>
      <protection hidden="1"/>
    </xf>
    <xf numFmtId="39" fontId="2" fillId="3" borderId="0" xfId="0" applyFont="1" applyFill="1" applyProtection="1">
      <protection hidden="1"/>
    </xf>
    <xf numFmtId="39" fontId="2" fillId="5" borderId="0" xfId="0" applyFont="1" applyFill="1" applyProtection="1">
      <protection hidden="1"/>
    </xf>
    <xf numFmtId="39" fontId="13" fillId="0" borderId="0" xfId="0" applyFont="1" applyAlignment="1" applyProtection="1">
      <alignment horizontal="right" vertical="top" wrapText="1"/>
      <protection hidden="1"/>
    </xf>
    <xf numFmtId="10" fontId="13" fillId="0" borderId="0" xfId="3" applyNumberFormat="1" applyFont="1" applyAlignment="1" applyProtection="1">
      <alignment horizontal="right" vertical="top" wrapText="1"/>
      <protection hidden="1"/>
    </xf>
    <xf numFmtId="39" fontId="2" fillId="4" borderId="0" xfId="0" applyFont="1" applyFill="1" applyProtection="1">
      <protection hidden="1"/>
    </xf>
    <xf numFmtId="39" fontId="2" fillId="0" borderId="0" xfId="0" applyFont="1" applyAlignment="1" applyProtection="1">
      <alignment horizontal="left"/>
      <protection hidden="1"/>
    </xf>
    <xf numFmtId="39" fontId="14" fillId="0" borderId="0" xfId="0" applyFont="1" applyProtection="1">
      <protection hidden="1"/>
    </xf>
    <xf numFmtId="10" fontId="2" fillId="0" borderId="0" xfId="3" applyNumberFormat="1" applyFont="1" applyProtection="1">
      <protection hidden="1"/>
    </xf>
    <xf numFmtId="165" fontId="2" fillId="4" borderId="0" xfId="2" applyNumberFormat="1" applyFont="1" applyFill="1" applyAlignment="1" applyProtection="1">
      <alignment vertical="center"/>
      <protection hidden="1"/>
    </xf>
    <xf numFmtId="39" fontId="2" fillId="0" borderId="0" xfId="0" applyFont="1" applyAlignment="1" applyProtection="1">
      <alignment vertical="center"/>
      <protection hidden="1"/>
    </xf>
    <xf numFmtId="39" fontId="14" fillId="0" borderId="0" xfId="0" applyFont="1" applyAlignment="1" applyProtection="1">
      <alignment horizontal="center" vertical="center" wrapText="1"/>
      <protection hidden="1"/>
    </xf>
    <xf numFmtId="39" fontId="2" fillId="0" borderId="0" xfId="0" applyFont="1" applyAlignment="1" applyProtection="1">
      <alignment horizontal="right" vertical="top" wrapText="1"/>
      <protection hidden="1"/>
    </xf>
    <xf numFmtId="37" fontId="2" fillId="4" borderId="0" xfId="0" applyNumberFormat="1" applyFont="1" applyFill="1" applyProtection="1">
      <protection hidden="1"/>
    </xf>
    <xf numFmtId="39" fontId="2" fillId="0" borderId="0" xfId="0" applyFont="1" applyAlignment="1" applyProtection="1">
      <alignment horizontal="center"/>
      <protection hidden="1"/>
    </xf>
    <xf numFmtId="39" fontId="13" fillId="0" borderId="0" xfId="0" applyFont="1" applyAlignment="1" applyProtection="1">
      <alignment horizontal="center" vertical="top" wrapText="1"/>
      <protection hidden="1"/>
    </xf>
    <xf numFmtId="4" fontId="14" fillId="0" borderId="0" xfId="2" applyNumberFormat="1" applyFont="1" applyProtection="1">
      <protection hidden="1"/>
    </xf>
    <xf numFmtId="39" fontId="2" fillId="7" borderId="2" xfId="0" applyFont="1" applyFill="1" applyBorder="1" applyProtection="1">
      <protection hidden="1"/>
    </xf>
    <xf numFmtId="164" fontId="2" fillId="0" borderId="3" xfId="2" applyFont="1" applyFill="1" applyBorder="1" applyProtection="1">
      <protection hidden="1"/>
    </xf>
    <xf numFmtId="39" fontId="2" fillId="0" borderId="2" xfId="0" applyFont="1" applyBorder="1" applyProtection="1">
      <protection hidden="1"/>
    </xf>
    <xf numFmtId="39" fontId="2" fillId="7" borderId="0" xfId="0" applyFont="1" applyFill="1" applyProtection="1">
      <protection hidden="1"/>
    </xf>
    <xf numFmtId="43" fontId="10" fillId="0" borderId="0" xfId="6" applyNumberFormat="1"/>
    <xf numFmtId="167" fontId="2" fillId="0" borderId="0" xfId="0" applyNumberFormat="1" applyFont="1" applyProtection="1">
      <protection hidden="1"/>
    </xf>
    <xf numFmtId="168" fontId="2" fillId="0" borderId="0" xfId="0" applyNumberFormat="1" applyFont="1" applyProtection="1">
      <protection hidden="1"/>
    </xf>
    <xf numFmtId="169" fontId="2" fillId="0" borderId="0" xfId="0" applyNumberFormat="1" applyFont="1" applyProtection="1">
      <protection hidden="1"/>
    </xf>
    <xf numFmtId="170" fontId="2" fillId="0" borderId="0" xfId="3" applyNumberFormat="1" applyFont="1" applyProtection="1">
      <protection hidden="1"/>
    </xf>
    <xf numFmtId="0" fontId="10" fillId="0" borderId="0" xfId="6" applyAlignment="1">
      <alignment horizontal="center" wrapText="1"/>
    </xf>
    <xf numFmtId="171" fontId="10" fillId="0" borderId="0" xfId="6" applyNumberFormat="1" applyAlignment="1">
      <alignment horizontal="right" wrapText="1"/>
    </xf>
    <xf numFmtId="168" fontId="2" fillId="0" borderId="0" xfId="0" applyNumberFormat="1" applyFont="1" applyAlignment="1" applyProtection="1">
      <alignment horizontal="right" vertical="center" wrapText="1"/>
      <protection hidden="1"/>
    </xf>
    <xf numFmtId="10" fontId="2" fillId="0" borderId="7" xfId="3" applyNumberFormat="1" applyFont="1" applyBorder="1" applyProtection="1">
      <protection hidden="1"/>
    </xf>
    <xf numFmtId="39" fontId="2" fillId="0" borderId="8" xfId="0" applyFont="1" applyBorder="1" applyProtection="1">
      <protection hidden="1"/>
    </xf>
    <xf numFmtId="10" fontId="2" fillId="0" borderId="9" xfId="3" applyNumberFormat="1" applyFont="1" applyBorder="1" applyProtection="1">
      <protection hidden="1"/>
    </xf>
    <xf numFmtId="39" fontId="2" fillId="0" borderId="10" xfId="0" applyFont="1" applyBorder="1" applyAlignment="1" applyProtection="1">
      <alignment horizontal="center" vertical="center" wrapText="1"/>
      <protection hidden="1"/>
    </xf>
    <xf numFmtId="39" fontId="2" fillId="0" borderId="11" xfId="0" applyFont="1" applyBorder="1" applyAlignment="1" applyProtection="1">
      <alignment horizontal="center" vertical="center" wrapText="1"/>
      <protection hidden="1"/>
    </xf>
    <xf numFmtId="37" fontId="2" fillId="0" borderId="2" xfId="0" applyNumberFormat="1" applyFont="1" applyBorder="1" applyAlignment="1" applyProtection="1">
      <alignment horizontal="center" vertical="center" wrapText="1"/>
      <protection hidden="1"/>
    </xf>
    <xf numFmtId="37" fontId="2" fillId="0" borderId="12" xfId="0" applyNumberFormat="1" applyFont="1" applyBorder="1" applyAlignment="1" applyProtection="1">
      <alignment horizontal="center"/>
      <protection hidden="1"/>
    </xf>
    <xf numFmtId="37" fontId="2" fillId="0" borderId="13" xfId="0" applyNumberFormat="1" applyFont="1" applyBorder="1" applyAlignment="1" applyProtection="1">
      <alignment horizontal="center"/>
      <protection hidden="1"/>
    </xf>
    <xf numFmtId="39" fontId="13" fillId="0" borderId="10" xfId="0" applyFont="1" applyBorder="1" applyAlignment="1" applyProtection="1">
      <alignment horizontal="center" vertical="center" wrapText="1"/>
      <protection hidden="1"/>
    </xf>
    <xf numFmtId="39" fontId="13" fillId="0" borderId="11" xfId="0" applyFont="1" applyBorder="1" applyAlignment="1" applyProtection="1">
      <alignment horizontal="center" vertical="center" wrapText="1"/>
      <protection hidden="1"/>
    </xf>
    <xf numFmtId="39" fontId="13" fillId="0" borderId="2" xfId="0" applyFont="1" applyBorder="1" applyAlignment="1" applyProtection="1">
      <alignment horizontal="center" vertical="center" wrapText="1"/>
      <protection hidden="1"/>
    </xf>
    <xf numFmtId="37" fontId="13" fillId="0" borderId="12" xfId="0" applyNumberFormat="1" applyFont="1" applyBorder="1" applyAlignment="1" applyProtection="1">
      <alignment horizontal="center" vertical="top" wrapText="1"/>
      <protection hidden="1"/>
    </xf>
    <xf numFmtId="37" fontId="13" fillId="0" borderId="13" xfId="0" applyNumberFormat="1" applyFont="1" applyBorder="1" applyAlignment="1" applyProtection="1">
      <alignment horizontal="center" vertical="top" wrapText="1"/>
      <protection hidden="1"/>
    </xf>
    <xf numFmtId="10" fontId="13" fillId="0" borderId="7" xfId="3" applyNumberFormat="1" applyFont="1" applyBorder="1" applyAlignment="1" applyProtection="1">
      <alignment horizontal="right" vertical="top" wrapText="1"/>
      <protection hidden="1"/>
    </xf>
    <xf numFmtId="39" fontId="13" fillId="0" borderId="8" xfId="0" applyFont="1" applyBorder="1" applyAlignment="1" applyProtection="1">
      <alignment horizontal="right" vertical="top" wrapText="1"/>
      <protection hidden="1"/>
    </xf>
    <xf numFmtId="10" fontId="13" fillId="0" borderId="9" xfId="3" applyNumberFormat="1" applyFont="1" applyBorder="1" applyAlignment="1" applyProtection="1">
      <alignment horizontal="right" vertical="top" wrapText="1"/>
      <protection hidden="1"/>
    </xf>
    <xf numFmtId="37" fontId="2" fillId="0" borderId="14" xfId="0" applyNumberFormat="1" applyFont="1" applyBorder="1" applyAlignment="1" applyProtection="1">
      <alignment horizontal="center"/>
      <protection hidden="1"/>
    </xf>
    <xf numFmtId="39" fontId="2" fillId="0" borderId="5" xfId="0" applyFont="1" applyBorder="1" applyProtection="1">
      <protection hidden="1"/>
    </xf>
    <xf numFmtId="10" fontId="2" fillId="0" borderId="6" xfId="3" applyNumberFormat="1" applyFont="1" applyBorder="1" applyProtection="1">
      <protection hidden="1"/>
    </xf>
    <xf numFmtId="170" fontId="10" fillId="0" borderId="0" xfId="3" applyNumberFormat="1" applyFont="1"/>
    <xf numFmtId="39" fontId="0" fillId="0" borderId="0" xfId="0" applyProtection="1">
      <protection hidden="1"/>
    </xf>
    <xf numFmtId="39" fontId="5" fillId="0" borderId="0" xfId="1" applyNumberFormat="1" applyFont="1" applyAlignment="1" applyProtection="1"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39" fontId="2" fillId="0" borderId="4" xfId="0" applyFont="1" applyBorder="1" applyProtection="1">
      <protection hidden="1"/>
    </xf>
    <xf numFmtId="39" fontId="0" fillId="0" borderId="3" xfId="0" applyBorder="1" applyProtection="1">
      <protection hidden="1"/>
    </xf>
    <xf numFmtId="39" fontId="2" fillId="0" borderId="1" xfId="0" applyFont="1" applyBorder="1" applyProtection="1">
      <protection hidden="1"/>
    </xf>
    <xf numFmtId="39" fontId="2" fillId="0" borderId="0" xfId="0" applyFont="1" applyAlignment="1" applyProtection="1">
      <alignment horizontal="center" wrapText="1"/>
      <protection hidden="1"/>
    </xf>
    <xf numFmtId="39" fontId="2" fillId="6" borderId="1" xfId="0" applyFont="1" applyFill="1" applyBorder="1" applyProtection="1">
      <protection locked="0"/>
    </xf>
    <xf numFmtId="39" fontId="2" fillId="5" borderId="15" xfId="0" applyFont="1" applyFill="1" applyBorder="1" applyAlignment="1" applyProtection="1">
      <alignment horizontal="center" vertical="center" wrapText="1"/>
      <protection hidden="1"/>
    </xf>
    <xf numFmtId="39" fontId="8" fillId="8" borderId="15" xfId="0" applyFont="1" applyFill="1" applyBorder="1" applyAlignment="1" applyProtection="1">
      <alignment horizontal="center" vertical="center" wrapText="1"/>
      <protection hidden="1"/>
    </xf>
    <xf numFmtId="37" fontId="2" fillId="0" borderId="1" xfId="0" applyNumberFormat="1" applyFont="1" applyBorder="1" applyProtection="1">
      <protection hidden="1"/>
    </xf>
    <xf numFmtId="39" fontId="2" fillId="0" borderId="1" xfId="0" applyFont="1" applyBorder="1" applyProtection="1">
      <protection locked="0"/>
    </xf>
    <xf numFmtId="4" fontId="2" fillId="0" borderId="1" xfId="2" applyNumberFormat="1" applyBorder="1" applyProtection="1">
      <protection hidden="1"/>
    </xf>
    <xf numFmtId="10" fontId="2" fillId="0" borderId="1" xfId="3" applyNumberFormat="1" applyFont="1" applyBorder="1" applyProtection="1">
      <protection hidden="1"/>
    </xf>
    <xf numFmtId="4" fontId="14" fillId="0" borderId="1" xfId="2" applyNumberFormat="1" applyFont="1" applyBorder="1" applyProtection="1">
      <protection hidden="1"/>
    </xf>
    <xf numFmtId="39" fontId="12" fillId="0" borderId="1" xfId="0" applyFont="1" applyBorder="1" applyProtection="1">
      <protection hidden="1"/>
    </xf>
    <xf numFmtId="39" fontId="2" fillId="7" borderId="1" xfId="0" applyFont="1" applyFill="1" applyBorder="1" applyAlignment="1" applyProtection="1">
      <alignment horizontal="right" vertical="center" wrapText="1"/>
      <protection locked="0" hidden="1"/>
    </xf>
    <xf numFmtId="39" fontId="8" fillId="7" borderId="1" xfId="0" applyFont="1" applyFill="1" applyBorder="1" applyAlignment="1" applyProtection="1">
      <alignment horizontal="right" vertical="center" wrapText="1"/>
      <protection locked="0" hidden="1"/>
    </xf>
    <xf numFmtId="39" fontId="12" fillId="0" borderId="0" xfId="0" applyFont="1"/>
    <xf numFmtId="39" fontId="15" fillId="0" borderId="0" xfId="0" applyFont="1"/>
    <xf numFmtId="39" fontId="16" fillId="0" borderId="0" xfId="0" applyFont="1"/>
    <xf numFmtId="0" fontId="16" fillId="0" borderId="1" xfId="0" applyNumberFormat="1" applyFont="1" applyBorder="1"/>
    <xf numFmtId="39" fontId="15" fillId="0" borderId="1" xfId="0" applyFont="1" applyBorder="1"/>
    <xf numFmtId="39" fontId="16" fillId="0" borderId="1" xfId="0" applyFont="1" applyBorder="1" applyAlignment="1">
      <alignment horizontal="center"/>
    </xf>
    <xf numFmtId="39" fontId="18" fillId="0" borderId="0" xfId="0" applyFont="1" applyAlignment="1">
      <alignment horizontal="right" vertical="center" wrapText="1"/>
    </xf>
    <xf numFmtId="39" fontId="18" fillId="0" borderId="16" xfId="0" applyFont="1" applyBorder="1" applyAlignment="1">
      <alignment horizontal="right" vertical="center" wrapText="1"/>
    </xf>
    <xf numFmtId="39" fontId="18" fillId="0" borderId="17" xfId="0" applyFont="1" applyBorder="1" applyAlignment="1">
      <alignment horizontal="right" vertical="center" wrapText="1"/>
    </xf>
    <xf numFmtId="39" fontId="2" fillId="0" borderId="3" xfId="0" applyFont="1" applyBorder="1" applyProtection="1">
      <protection hidden="1"/>
    </xf>
    <xf numFmtId="39" fontId="19" fillId="0" borderId="0" xfId="0" applyFont="1"/>
    <xf numFmtId="39" fontId="20" fillId="0" borderId="0" xfId="0" applyFont="1"/>
    <xf numFmtId="39" fontId="21" fillId="0" borderId="0" xfId="0" applyFont="1"/>
    <xf numFmtId="39" fontId="22" fillId="0" borderId="0" xfId="0" applyFont="1"/>
    <xf numFmtId="39" fontId="22" fillId="0" borderId="0" xfId="0" applyFont="1" applyAlignment="1">
      <alignment horizontal="center"/>
    </xf>
    <xf numFmtId="164" fontId="22" fillId="0" borderId="0" xfId="2" applyFont="1"/>
    <xf numFmtId="39" fontId="22" fillId="0" borderId="0" xfId="0" applyFont="1" applyAlignment="1">
      <alignment horizontal="center" vertical="center" wrapText="1"/>
    </xf>
    <xf numFmtId="164" fontId="22" fillId="0" borderId="0" xfId="2" applyFont="1" applyAlignment="1">
      <alignment horizontal="center" vertical="center" wrapText="1"/>
    </xf>
    <xf numFmtId="39" fontId="2" fillId="7" borderId="1" xfId="0" applyFont="1" applyFill="1" applyBorder="1" applyProtection="1">
      <protection locked="0"/>
    </xf>
    <xf numFmtId="39" fontId="17" fillId="0" borderId="1" xfId="1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39" fontId="7" fillId="0" borderId="0" xfId="0" applyFont="1" applyAlignment="1">
      <alignment horizontal="center" vertical="center"/>
    </xf>
  </cellXfs>
  <cellStyles count="8">
    <cellStyle name="Hipervínculo" xfId="1" builtinId="8"/>
    <cellStyle name="Millares" xfId="2" builtinId="3"/>
    <cellStyle name="Millares 2" xfId="5" xr:uid="{00000000-0005-0000-0000-000002000000}"/>
    <cellStyle name="Millares 3" xfId="7" xr:uid="{9DF6AE17-5B93-4686-BAD3-3642638DD54D}"/>
    <cellStyle name="Normal" xfId="0" builtinId="0"/>
    <cellStyle name="Normal 2" xfId="4" xr:uid="{00000000-0005-0000-0000-000004000000}"/>
    <cellStyle name="Normal 3" xfId="6" xr:uid="{214AAD4F-652C-4779-9964-B7703B3E2C0A}"/>
    <cellStyle name="Porcentaje" xfId="3" builtinId="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FFDFD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228600</xdr:colOff>
      <xdr:row>0</xdr:row>
      <xdr:rowOff>0</xdr:rowOff>
    </xdr:to>
    <xdr:sp macro="" textlink="">
      <xdr:nvSpPr>
        <xdr:cNvPr id="4187" name="Line 1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ShapeType="1"/>
        </xdr:cNvSpPr>
      </xdr:nvSpPr>
      <xdr:spPr bwMode="auto">
        <a:xfrm>
          <a:off x="5686425" y="0"/>
          <a:ext cx="298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266700</xdr:colOff>
      <xdr:row>0</xdr:row>
      <xdr:rowOff>0</xdr:rowOff>
    </xdr:from>
    <xdr:to>
      <xdr:col>9</xdr:col>
      <xdr:colOff>190500</xdr:colOff>
      <xdr:row>0</xdr:row>
      <xdr:rowOff>0</xdr:rowOff>
    </xdr:to>
    <xdr:sp macro="" textlink="">
      <xdr:nvSpPr>
        <xdr:cNvPr id="4188" name="Line 2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ShapeType="1"/>
        </xdr:cNvSpPr>
      </xdr:nvSpPr>
      <xdr:spPr bwMode="auto">
        <a:xfrm>
          <a:off x="5734050" y="0"/>
          <a:ext cx="289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424815</xdr:colOff>
      <xdr:row>0</xdr:row>
      <xdr:rowOff>0</xdr:rowOff>
    </xdr:from>
    <xdr:to>
      <xdr:col>11</xdr:col>
      <xdr:colOff>234</xdr:colOff>
      <xdr:row>0</xdr:row>
      <xdr:rowOff>0</xdr:rowOff>
    </xdr:to>
    <xdr:sp macro="" textlink="">
      <xdr:nvSpPr>
        <xdr:cNvPr id="4099" name="Text Box 3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8858250" y="0"/>
          <a:ext cx="1562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s-MX" sz="1200" b="0" i="0" strike="noStrike">
              <a:solidFill>
                <a:srgbClr val="000000"/>
              </a:solidFill>
              <a:latin typeface="Helv"/>
            </a:rPr>
            <a:t>Estas cantidades son ejemplos, modifiquelos de acuerdo a su empresa</a:t>
          </a:r>
        </a:p>
        <a:p>
          <a:pPr algn="l" rtl="0">
            <a:defRPr sz="1000"/>
          </a:pPr>
          <a:endParaRPr lang="es-MX" sz="1200" b="0" i="0" strike="noStrike">
            <a:solidFill>
              <a:srgbClr val="000000"/>
            </a:solidFill>
            <a:latin typeface="Helv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0</xdr:row>
      <xdr:rowOff>177800</xdr:rowOff>
    </xdr:from>
    <xdr:to>
      <xdr:col>7</xdr:col>
      <xdr:colOff>901700</xdr:colOff>
      <xdr:row>6</xdr:row>
      <xdr:rowOff>40115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5A09B7-5DB8-8A49-032D-4A231ACDC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0200" y="177800"/>
          <a:ext cx="4699000" cy="10815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772583</xdr:colOff>
      <xdr:row>0</xdr:row>
      <xdr:rowOff>179918</xdr:rowOff>
    </xdr:from>
    <xdr:to>
      <xdr:col>22</xdr:col>
      <xdr:colOff>3174</xdr:colOff>
      <xdr:row>4</xdr:row>
      <xdr:rowOff>182824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0BE9CB-0F4E-4501-40E6-47C62537D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4500" y="179918"/>
          <a:ext cx="3507316" cy="8072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4</xdr:row>
      <xdr:rowOff>164041</xdr:rowOff>
    </xdr:from>
    <xdr:to>
      <xdr:col>6</xdr:col>
      <xdr:colOff>62441</xdr:colOff>
      <xdr:row>8</xdr:row>
      <xdr:rowOff>182822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0F30FF-4753-4F4D-89F0-FC8772426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4750" y="1285874"/>
          <a:ext cx="3295649" cy="80194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Enrique Benítez Barba" id="{B6D09986-3923-CE4B-8796-AF95AB7F4616}" userId="S::jorge.benitez@exatec.tec.mx::f91d6708-e561-4501-910d-5b837531208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2-12-12T18:38:39.51" personId="{B6D09986-3923-CE4B-8796-AF95AB7F4616}" id="{5342892D-D601-5C47-BC53-55CD25ECDD9E}">
    <text>Captura únicamente la Parte Gravada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nocimiento.blob.core.windows.net/conocimiento/Manuales/Reforma_Fiscal_2022/SalariosMinimos2023/index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8"/>
  <sheetViews>
    <sheetView showGridLines="0" zoomScale="75" workbookViewId="0">
      <selection activeCell="A5" sqref="A5"/>
    </sheetView>
  </sheetViews>
  <sheetFormatPr baseColWidth="10" defaultRowHeight="16"/>
  <cols>
    <col min="1" max="1" width="6" customWidth="1"/>
  </cols>
  <sheetData>
    <row r="1" spans="1:3">
      <c r="A1" t="s">
        <v>6</v>
      </c>
    </row>
    <row r="4" spans="1:3" ht="53.25" customHeight="1">
      <c r="A4" s="1" t="s">
        <v>5</v>
      </c>
      <c r="B4" s="1" t="s">
        <v>7</v>
      </c>
      <c r="C4" s="1" t="s">
        <v>8</v>
      </c>
    </row>
    <row r="5" spans="1:3">
      <c r="A5" t="e">
        <f>+#REF!</f>
        <v>#REF!</v>
      </c>
      <c r="B5" t="e">
        <f>+#REF!</f>
        <v>#REF!</v>
      </c>
      <c r="C5" t="e">
        <f>+#REF!</f>
        <v>#REF!</v>
      </c>
    </row>
    <row r="6" spans="1:3">
      <c r="A6" t="e">
        <f>+#REF!</f>
        <v>#REF!</v>
      </c>
      <c r="B6" t="e">
        <f>+#REF!</f>
        <v>#REF!</v>
      </c>
      <c r="C6" t="e">
        <f>+#REF!</f>
        <v>#REF!</v>
      </c>
    </row>
    <row r="7" spans="1:3">
      <c r="A7" t="e">
        <f>+#REF!</f>
        <v>#REF!</v>
      </c>
      <c r="B7" t="e">
        <f>+#REF!</f>
        <v>#REF!</v>
      </c>
      <c r="C7" t="e">
        <f>+#REF!</f>
        <v>#REF!</v>
      </c>
    </row>
    <row r="8" spans="1:3">
      <c r="A8" t="e">
        <f>+#REF!</f>
        <v>#REF!</v>
      </c>
      <c r="B8" t="e">
        <f>+#REF!</f>
        <v>#REF!</v>
      </c>
      <c r="C8" t="e">
        <f>+#REF!</f>
        <v>#REF!</v>
      </c>
    </row>
    <row r="9" spans="1:3">
      <c r="A9" t="e">
        <f>+#REF!</f>
        <v>#REF!</v>
      </c>
      <c r="B9" t="e">
        <f>+#REF!</f>
        <v>#REF!</v>
      </c>
      <c r="C9" t="e">
        <f>+#REF!</f>
        <v>#REF!</v>
      </c>
    </row>
    <row r="10" spans="1:3">
      <c r="A10" t="e">
        <f>+#REF!</f>
        <v>#REF!</v>
      </c>
      <c r="B10" t="e">
        <f>+#REF!</f>
        <v>#REF!</v>
      </c>
      <c r="C10" t="e">
        <f>+#REF!</f>
        <v>#REF!</v>
      </c>
    </row>
    <row r="11" spans="1:3">
      <c r="A11" t="e">
        <f>+#REF!</f>
        <v>#REF!</v>
      </c>
      <c r="B11" t="e">
        <f>+#REF!</f>
        <v>#REF!</v>
      </c>
      <c r="C11" t="e">
        <f>+#REF!</f>
        <v>#REF!</v>
      </c>
    </row>
    <row r="12" spans="1:3">
      <c r="A12" t="e">
        <f>+#REF!</f>
        <v>#REF!</v>
      </c>
      <c r="B12" t="e">
        <f>+#REF!</f>
        <v>#REF!</v>
      </c>
      <c r="C12" t="e">
        <f>+#REF!</f>
        <v>#REF!</v>
      </c>
    </row>
    <row r="13" spans="1:3">
      <c r="A13" t="e">
        <f>+#REF!</f>
        <v>#REF!</v>
      </c>
      <c r="B13" t="e">
        <f>+#REF!</f>
        <v>#REF!</v>
      </c>
      <c r="C13" t="e">
        <f>+#REF!</f>
        <v>#REF!</v>
      </c>
    </row>
    <row r="14" spans="1:3">
      <c r="A14" t="e">
        <f>+#REF!</f>
        <v>#REF!</v>
      </c>
      <c r="B14" t="e">
        <f>+#REF!</f>
        <v>#REF!</v>
      </c>
      <c r="C14" t="e">
        <f>+#REF!</f>
        <v>#REF!</v>
      </c>
    </row>
    <row r="15" spans="1:3">
      <c r="A15" t="e">
        <f>+#REF!</f>
        <v>#REF!</v>
      </c>
      <c r="B15" t="e">
        <f>+#REF!</f>
        <v>#REF!</v>
      </c>
      <c r="C15" t="e">
        <f>+#REF!</f>
        <v>#REF!</v>
      </c>
    </row>
    <row r="16" spans="1:3">
      <c r="A16" t="e">
        <f>+#REF!</f>
        <v>#REF!</v>
      </c>
      <c r="B16" t="e">
        <f>+#REF!</f>
        <v>#REF!</v>
      </c>
      <c r="C16" t="e">
        <f>+#REF!</f>
        <v>#REF!</v>
      </c>
    </row>
    <row r="17" spans="1:3">
      <c r="A17" t="e">
        <f>+#REF!</f>
        <v>#REF!</v>
      </c>
      <c r="B17" t="e">
        <f>+#REF!</f>
        <v>#REF!</v>
      </c>
      <c r="C17" t="e">
        <f>+#REF!</f>
        <v>#REF!</v>
      </c>
    </row>
    <row r="18" spans="1:3">
      <c r="A18" t="e">
        <f>+#REF!</f>
        <v>#REF!</v>
      </c>
      <c r="B18" t="e">
        <f>+#REF!</f>
        <v>#REF!</v>
      </c>
      <c r="C18" t="e">
        <f>+#REF!</f>
        <v>#REF!</v>
      </c>
    </row>
    <row r="19" spans="1:3">
      <c r="A19" t="e">
        <f>+#REF!</f>
        <v>#REF!</v>
      </c>
      <c r="B19" t="e">
        <f>+#REF!</f>
        <v>#REF!</v>
      </c>
      <c r="C19" t="e">
        <f>+#REF!</f>
        <v>#REF!</v>
      </c>
    </row>
    <row r="20" spans="1:3">
      <c r="A20" t="e">
        <f>+#REF!</f>
        <v>#REF!</v>
      </c>
      <c r="B20" t="e">
        <f>+#REF!</f>
        <v>#REF!</v>
      </c>
      <c r="C20" t="e">
        <f>+#REF!</f>
        <v>#REF!</v>
      </c>
    </row>
    <row r="21" spans="1:3">
      <c r="A21" t="e">
        <f>+#REF!</f>
        <v>#REF!</v>
      </c>
      <c r="B21" t="e">
        <f>+#REF!</f>
        <v>#REF!</v>
      </c>
      <c r="C21" t="e">
        <f>+#REF!</f>
        <v>#REF!</v>
      </c>
    </row>
    <row r="22" spans="1:3">
      <c r="A22" t="e">
        <f>+#REF!</f>
        <v>#REF!</v>
      </c>
      <c r="B22" t="e">
        <f>+#REF!</f>
        <v>#REF!</v>
      </c>
      <c r="C22" t="e">
        <f>+#REF!</f>
        <v>#REF!</v>
      </c>
    </row>
    <row r="23" spans="1:3">
      <c r="A23" t="e">
        <f>+#REF!</f>
        <v>#REF!</v>
      </c>
      <c r="B23" t="e">
        <f>+#REF!</f>
        <v>#REF!</v>
      </c>
      <c r="C23" t="e">
        <f>+#REF!</f>
        <v>#REF!</v>
      </c>
    </row>
    <row r="24" spans="1:3">
      <c r="A24" t="e">
        <f>+#REF!</f>
        <v>#REF!</v>
      </c>
      <c r="B24" t="e">
        <f>+#REF!</f>
        <v>#REF!</v>
      </c>
      <c r="C24" t="e">
        <f>+#REF!</f>
        <v>#REF!</v>
      </c>
    </row>
    <row r="25" spans="1:3">
      <c r="A25" t="e">
        <f>+#REF!</f>
        <v>#REF!</v>
      </c>
      <c r="B25" t="e">
        <f>+#REF!</f>
        <v>#REF!</v>
      </c>
      <c r="C25" t="e">
        <f>+#REF!</f>
        <v>#REF!</v>
      </c>
    </row>
    <row r="26" spans="1:3">
      <c r="A26" t="e">
        <f>+#REF!</f>
        <v>#REF!</v>
      </c>
      <c r="B26" t="e">
        <f>+#REF!</f>
        <v>#REF!</v>
      </c>
      <c r="C26" t="e">
        <f>+#REF!</f>
        <v>#REF!</v>
      </c>
    </row>
    <row r="27" spans="1:3">
      <c r="A27" t="e">
        <f>+#REF!</f>
        <v>#REF!</v>
      </c>
      <c r="B27" t="e">
        <f>+#REF!</f>
        <v>#REF!</v>
      </c>
      <c r="C27" t="e">
        <f>+#REF!</f>
        <v>#REF!</v>
      </c>
    </row>
    <row r="28" spans="1:3">
      <c r="A28" t="e">
        <f>+#REF!</f>
        <v>#REF!</v>
      </c>
      <c r="B28" t="e">
        <f>+#REF!</f>
        <v>#REF!</v>
      </c>
      <c r="C28" t="e">
        <f>+#REF!</f>
        <v>#REF!</v>
      </c>
    </row>
    <row r="29" spans="1:3">
      <c r="A29" t="e">
        <f>+#REF!</f>
        <v>#REF!</v>
      </c>
      <c r="B29" t="e">
        <f>+#REF!</f>
        <v>#REF!</v>
      </c>
      <c r="C29" t="e">
        <f>+#REF!</f>
        <v>#REF!</v>
      </c>
    </row>
    <row r="30" spans="1:3">
      <c r="A30" t="e">
        <f>+#REF!</f>
        <v>#REF!</v>
      </c>
      <c r="B30" t="e">
        <f>+#REF!</f>
        <v>#REF!</v>
      </c>
      <c r="C30" t="e">
        <f>+#REF!</f>
        <v>#REF!</v>
      </c>
    </row>
    <row r="31" spans="1:3">
      <c r="A31" t="e">
        <f>+#REF!</f>
        <v>#REF!</v>
      </c>
      <c r="B31" t="e">
        <f>+#REF!</f>
        <v>#REF!</v>
      </c>
      <c r="C31" t="e">
        <f>+#REF!</f>
        <v>#REF!</v>
      </c>
    </row>
    <row r="32" spans="1:3">
      <c r="A32" t="e">
        <f>+#REF!</f>
        <v>#REF!</v>
      </c>
      <c r="B32" t="e">
        <f>+#REF!</f>
        <v>#REF!</v>
      </c>
      <c r="C32" t="e">
        <f>+#REF!</f>
        <v>#REF!</v>
      </c>
    </row>
    <row r="33" spans="1:3">
      <c r="A33" t="e">
        <f>+#REF!</f>
        <v>#REF!</v>
      </c>
      <c r="B33" t="e">
        <f>+#REF!</f>
        <v>#REF!</v>
      </c>
      <c r="C33" t="e">
        <f>+#REF!</f>
        <v>#REF!</v>
      </c>
    </row>
    <row r="34" spans="1:3">
      <c r="A34" t="e">
        <f>+#REF!</f>
        <v>#REF!</v>
      </c>
      <c r="B34" t="e">
        <f>+#REF!</f>
        <v>#REF!</v>
      </c>
      <c r="C34" t="e">
        <f>+#REF!</f>
        <v>#REF!</v>
      </c>
    </row>
    <row r="35" spans="1:3">
      <c r="A35" t="e">
        <f>+#REF!</f>
        <v>#REF!</v>
      </c>
      <c r="B35" t="e">
        <f>+#REF!</f>
        <v>#REF!</v>
      </c>
      <c r="C35" t="e">
        <f>+#REF!</f>
        <v>#REF!</v>
      </c>
    </row>
    <row r="36" spans="1:3">
      <c r="A36" t="e">
        <f>+#REF!</f>
        <v>#REF!</v>
      </c>
      <c r="B36" t="e">
        <f>+#REF!</f>
        <v>#REF!</v>
      </c>
      <c r="C36" t="e">
        <f>+#REF!</f>
        <v>#REF!</v>
      </c>
    </row>
    <row r="37" spans="1:3">
      <c r="A37" t="e">
        <f>+#REF!</f>
        <v>#REF!</v>
      </c>
      <c r="B37" t="e">
        <f>+#REF!</f>
        <v>#REF!</v>
      </c>
      <c r="C37" t="e">
        <f>+#REF!</f>
        <v>#REF!</v>
      </c>
    </row>
    <row r="38" spans="1:3">
      <c r="A38" t="e">
        <f>+#REF!</f>
        <v>#REF!</v>
      </c>
      <c r="B38" t="e">
        <f>+#REF!</f>
        <v>#REF!</v>
      </c>
      <c r="C38" t="e">
        <f>+#REF!</f>
        <v>#REF!</v>
      </c>
    </row>
  </sheetData>
  <customSheetViews>
    <customSheetView guid="{B421B96C-BE4E-4B6F-9142-FF1AE2A373A8}" scale="75" showGridLines="0" fitToPage="1" state="hidden">
      <selection activeCell="A5" sqref="A5"/>
      <pageMargins left="0.75" right="0.75" top="1" bottom="1" header="0" footer="0"/>
      <printOptions horizontalCentered="1" verticalCentered="1"/>
      <pageSetup scale="61" orientation="portrait" horizontalDpi="300" verticalDpi="300" r:id="rId1"/>
      <headerFooter alignWithMargins="0"/>
    </customSheetView>
  </customSheetViews>
  <phoneticPr fontId="3" type="noConversion"/>
  <printOptions horizontalCentered="1" verticalCentered="1"/>
  <pageMargins left="0.75" right="0.75" top="1" bottom="1" header="0" footer="0"/>
  <pageSetup scale="61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A96D9-9335-8C4E-AF0B-91033CCB1E4B}">
  <dimension ref="A10:K50"/>
  <sheetViews>
    <sheetView showGridLines="0" tabSelected="1" topLeftCell="A31" workbookViewId="0">
      <selection activeCell="A45" sqref="A45:XFD45"/>
    </sheetView>
  </sheetViews>
  <sheetFormatPr baseColWidth="10" defaultRowHeight="16"/>
  <cols>
    <col min="1" max="1" width="31" customWidth="1"/>
  </cols>
  <sheetData>
    <row r="10" spans="1:3" ht="18">
      <c r="A10" s="90" t="s">
        <v>90</v>
      </c>
    </row>
    <row r="12" spans="1:3" ht="18">
      <c r="A12" s="90" t="s">
        <v>83</v>
      </c>
      <c r="B12" s="90"/>
      <c r="C12" s="90"/>
    </row>
    <row r="13" spans="1:3" ht="18">
      <c r="A13" s="90"/>
      <c r="B13" s="90"/>
      <c r="C13" s="90"/>
    </row>
    <row r="14" spans="1:3" ht="18">
      <c r="A14" s="90" t="s">
        <v>84</v>
      </c>
      <c r="B14" s="90"/>
      <c r="C14" s="90"/>
    </row>
    <row r="15" spans="1:3" ht="18">
      <c r="A15" s="90"/>
      <c r="B15" s="90"/>
      <c r="C15" s="90"/>
    </row>
    <row r="16" spans="1:3" ht="18">
      <c r="A16" s="90" t="s">
        <v>85</v>
      </c>
      <c r="B16" s="90"/>
      <c r="C16" s="90"/>
    </row>
    <row r="17" spans="1:3" ht="18">
      <c r="A17" s="90"/>
      <c r="B17" s="90"/>
      <c r="C17" s="90"/>
    </row>
    <row r="18" spans="1:3" ht="18">
      <c r="A18" s="94" t="s">
        <v>86</v>
      </c>
      <c r="B18" s="92">
        <v>2022</v>
      </c>
      <c r="C18" s="92">
        <v>2023</v>
      </c>
    </row>
    <row r="19" spans="1:3" ht="18">
      <c r="B19" s="93">
        <v>260.33999999999997</v>
      </c>
      <c r="C19" s="93">
        <v>312.41000000000003</v>
      </c>
    </row>
    <row r="20" spans="1:3" ht="18">
      <c r="A20" s="90"/>
      <c r="B20" s="90"/>
      <c r="C20" s="90"/>
    </row>
    <row r="21" spans="1:3" ht="18">
      <c r="A21" s="90" t="s">
        <v>87</v>
      </c>
      <c r="B21" s="90"/>
      <c r="C21" s="90"/>
    </row>
    <row r="22" spans="1:3" ht="18">
      <c r="A22" s="90"/>
      <c r="B22" s="90"/>
      <c r="C22" s="90"/>
    </row>
    <row r="23" spans="1:3" ht="18">
      <c r="A23" s="94" t="s">
        <v>88</v>
      </c>
      <c r="B23" s="92">
        <v>2022</v>
      </c>
      <c r="C23" s="92">
        <v>2023</v>
      </c>
    </row>
    <row r="24" spans="1:3" ht="18">
      <c r="B24" s="93">
        <v>172.87</v>
      </c>
      <c r="C24" s="93">
        <v>207.44</v>
      </c>
    </row>
    <row r="25" spans="1:3" ht="18">
      <c r="A25" s="90"/>
      <c r="B25" s="90"/>
      <c r="C25" s="90"/>
    </row>
    <row r="26" spans="1:3" ht="18">
      <c r="A26" s="90" t="s">
        <v>89</v>
      </c>
      <c r="B26" s="90"/>
      <c r="C26" s="90"/>
    </row>
    <row r="27" spans="1:3" ht="18">
      <c r="A27" s="90"/>
      <c r="B27" s="90"/>
      <c r="C27" s="90"/>
    </row>
    <row r="28" spans="1:3" ht="18">
      <c r="A28" s="91" t="s">
        <v>93</v>
      </c>
      <c r="B28" s="90"/>
      <c r="C28" s="90"/>
    </row>
    <row r="29" spans="1:3" ht="18">
      <c r="A29" s="90" t="s">
        <v>94</v>
      </c>
      <c r="B29" s="90"/>
      <c r="C29" s="90"/>
    </row>
    <row r="30" spans="1:3" ht="18">
      <c r="A30" s="90" t="s">
        <v>95</v>
      </c>
      <c r="B30" s="90"/>
      <c r="C30" s="90"/>
    </row>
    <row r="31" spans="1:3" ht="18">
      <c r="A31" s="90"/>
      <c r="B31" s="90"/>
      <c r="C31" s="90"/>
    </row>
    <row r="32" spans="1:3" ht="18">
      <c r="A32" s="90"/>
      <c r="B32" s="90"/>
      <c r="C32" s="90"/>
    </row>
    <row r="34" spans="1:11" ht="18">
      <c r="A34" s="90" t="s">
        <v>91</v>
      </c>
    </row>
    <row r="35" spans="1:11" ht="18">
      <c r="A35" s="108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</row>
    <row r="42" spans="1:11" ht="18">
      <c r="A42" s="91" t="s">
        <v>77</v>
      </c>
    </row>
    <row r="43" spans="1:11" ht="18">
      <c r="A43" s="90" t="s">
        <v>78</v>
      </c>
      <c r="B43" s="90" t="s">
        <v>79</v>
      </c>
      <c r="C43" s="90"/>
    </row>
    <row r="44" spans="1:11" ht="18">
      <c r="A44" s="90" t="s">
        <v>80</v>
      </c>
      <c r="B44" s="90" t="s">
        <v>79</v>
      </c>
      <c r="C44" s="90"/>
    </row>
    <row r="45" spans="1:11" ht="18">
      <c r="A45" s="90" t="s">
        <v>81</v>
      </c>
      <c r="B45" s="90" t="s">
        <v>82</v>
      </c>
      <c r="C45" s="90"/>
    </row>
    <row r="49" spans="1:1">
      <c r="A49" s="89" t="s">
        <v>96</v>
      </c>
    </row>
    <row r="50" spans="1:1">
      <c r="A50" t="s">
        <v>101</v>
      </c>
    </row>
  </sheetData>
  <sheetProtection algorithmName="SHA-512" hashValue="r9kuj5UL6dwoqlZy8TD8++QWdfsFsty8kaFyLG4PoGBKR34WNYkwh+nWZOA+J7t0kEslPnQ6N/9iUkauZwYApw==" saltValue="k3KoCm+7NatA2GPJob3r4Q==" spinCount="100000" sheet="1" objects="1" scenarios="1"/>
  <mergeCells count="1">
    <mergeCell ref="A35:K35"/>
  </mergeCells>
  <hyperlinks>
    <hyperlink ref="A35" r:id="rId1" xr:uid="{D3CAF98C-1A8C-8042-A144-12576AB64EED}"/>
  </hyperlinks>
  <pageMargins left="0.7" right="0.7" top="0.75" bottom="0.75" header="0.3" footer="0.3"/>
  <pageSetup orientation="portrait" horizontalDpi="0" verticalDpi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616C5-1BEA-4859-9BF9-4F7047D91F83}">
  <sheetPr>
    <pageSetUpPr fitToPage="1"/>
  </sheetPr>
  <dimension ref="A1:R67"/>
  <sheetViews>
    <sheetView showGridLines="0" showZeros="0" zoomScale="120" zoomScaleNormal="120" workbookViewId="0">
      <selection activeCell="D3" sqref="D3"/>
    </sheetView>
  </sheetViews>
  <sheetFormatPr baseColWidth="10" defaultColWidth="9.7109375" defaultRowHeight="16"/>
  <cols>
    <col min="1" max="1" width="6.140625" style="71" customWidth="1"/>
    <col min="2" max="2" width="10.85546875" style="71" customWidth="1"/>
    <col min="3" max="3" width="9.28515625" style="71" customWidth="1"/>
    <col min="4" max="4" width="10" style="71" customWidth="1"/>
    <col min="5" max="5" width="9.28515625" style="71" customWidth="1"/>
    <col min="6" max="6" width="11.85546875" style="71" customWidth="1"/>
    <col min="7" max="7" width="8.28515625" style="71" customWidth="1"/>
    <col min="8" max="8" width="9.140625" style="71" customWidth="1"/>
    <col min="9" max="17" width="8.85546875" style="71" customWidth="1"/>
    <col min="18" max="16384" width="9.7109375" style="71"/>
  </cols>
  <sheetData>
    <row r="1" spans="1:18">
      <c r="A1" s="3" t="s">
        <v>18</v>
      </c>
      <c r="B1" s="3"/>
      <c r="C1" s="3"/>
      <c r="D1" s="3"/>
      <c r="E1" s="3"/>
      <c r="F1" s="3"/>
      <c r="I1" s="109" t="s">
        <v>70</v>
      </c>
      <c r="J1" s="110"/>
      <c r="K1" s="109" t="s">
        <v>71</v>
      </c>
      <c r="L1" s="110"/>
      <c r="N1" s="72"/>
    </row>
    <row r="2" spans="1:18">
      <c r="A2" s="3"/>
      <c r="B2" s="76" t="s">
        <v>33</v>
      </c>
      <c r="C2" s="78">
        <v>7</v>
      </c>
      <c r="D2" s="76" t="s">
        <v>17</v>
      </c>
      <c r="E2" s="78">
        <v>52</v>
      </c>
      <c r="G2" s="3"/>
      <c r="I2" s="73">
        <v>2022</v>
      </c>
      <c r="J2" s="73">
        <v>2023</v>
      </c>
      <c r="K2" s="73">
        <v>2022</v>
      </c>
      <c r="L2" s="73">
        <v>2023</v>
      </c>
    </row>
    <row r="3" spans="1:18">
      <c r="A3" s="3"/>
      <c r="B3" s="3"/>
      <c r="C3" s="3"/>
      <c r="G3" s="74" t="s">
        <v>102</v>
      </c>
      <c r="H3" s="75"/>
      <c r="I3" s="107">
        <v>260</v>
      </c>
      <c r="J3" s="107">
        <v>312</v>
      </c>
      <c r="K3" s="76">
        <f>+I3*C2</f>
        <v>1820</v>
      </c>
      <c r="L3" s="76">
        <f>+J3*C2</f>
        <v>2184</v>
      </c>
    </row>
    <row r="4" spans="1:18">
      <c r="A4" s="3"/>
      <c r="B4" s="3"/>
      <c r="C4" s="3"/>
      <c r="E4" s="3"/>
      <c r="F4" s="3"/>
      <c r="G4" s="74" t="s">
        <v>103</v>
      </c>
      <c r="H4" s="98"/>
      <c r="I4" s="107">
        <f>+I3</f>
        <v>260</v>
      </c>
      <c r="J4" s="107">
        <f>+J3</f>
        <v>312</v>
      </c>
    </row>
    <row r="5" spans="1:18">
      <c r="A5" s="3"/>
      <c r="B5" s="3"/>
      <c r="C5" s="3"/>
      <c r="E5" s="3"/>
      <c r="F5" s="3"/>
      <c r="G5" s="3"/>
      <c r="H5" s="3"/>
      <c r="J5" s="77"/>
    </row>
    <row r="6" spans="1:18">
      <c r="A6" s="3"/>
      <c r="B6" s="3"/>
      <c r="C6" s="38">
        <f>SUM(C8:C59)</f>
        <v>100</v>
      </c>
      <c r="D6" s="85">
        <f>SUM(D8:D60)</f>
        <v>94740</v>
      </c>
      <c r="E6" s="85"/>
      <c r="F6" s="85">
        <f>SUM(F8:F60)</f>
        <v>0</v>
      </c>
      <c r="G6" s="85">
        <f t="shared" ref="G6" si="0">SUM(G8:G59)</f>
        <v>145.80914842105261</v>
      </c>
      <c r="H6" s="85">
        <f>SUM(H8:H60)</f>
        <v>0</v>
      </c>
      <c r="I6" s="85">
        <f>SUM(I8:I60)</f>
        <v>94594.190851578955</v>
      </c>
      <c r="J6" s="86"/>
      <c r="K6" s="86"/>
      <c r="L6" s="85">
        <f>SUM(L8:L60)</f>
        <v>113568</v>
      </c>
      <c r="M6" s="85"/>
      <c r="N6" s="85">
        <f>SUM(N8:N60)</f>
        <v>0</v>
      </c>
      <c r="O6" s="85">
        <f>SUM(O8:O60)</f>
        <v>0</v>
      </c>
      <c r="P6" s="85">
        <f>SUM(P8:P60)</f>
        <v>0</v>
      </c>
      <c r="Q6" s="85">
        <f>SUM(Q8:Q60)</f>
        <v>113568</v>
      </c>
    </row>
    <row r="7" spans="1:18" ht="46.5" customHeight="1">
      <c r="A7" s="79" t="s">
        <v>97</v>
      </c>
      <c r="B7" s="79" t="s">
        <v>10</v>
      </c>
      <c r="C7" s="79" t="s">
        <v>100</v>
      </c>
      <c r="D7" s="79" t="s">
        <v>56</v>
      </c>
      <c r="E7" s="79" t="s">
        <v>57</v>
      </c>
      <c r="F7" s="79" t="s">
        <v>55</v>
      </c>
      <c r="G7" s="79" t="s">
        <v>99</v>
      </c>
      <c r="H7" s="79" t="s">
        <v>58</v>
      </c>
      <c r="I7" s="79" t="s">
        <v>34</v>
      </c>
      <c r="J7" s="80" t="s">
        <v>10</v>
      </c>
      <c r="K7" s="80" t="s">
        <v>100</v>
      </c>
      <c r="L7" s="80" t="s">
        <v>59</v>
      </c>
      <c r="M7" s="80" t="s">
        <v>60</v>
      </c>
      <c r="N7" s="80" t="s">
        <v>61</v>
      </c>
      <c r="O7" s="80" t="s">
        <v>98</v>
      </c>
      <c r="P7" s="80" t="s">
        <v>62</v>
      </c>
      <c r="Q7" s="80" t="s">
        <v>34</v>
      </c>
      <c r="R7" s="19" t="s">
        <v>35</v>
      </c>
    </row>
    <row r="8" spans="1:18" ht="15.75" customHeight="1">
      <c r="A8" s="81">
        <v>1</v>
      </c>
      <c r="B8" s="76">
        <f t="shared" ref="B8:B39" si="1">IF(A8=0,0,$I$4)</f>
        <v>260</v>
      </c>
      <c r="C8" s="82"/>
      <c r="D8" s="83">
        <f>+B8*$C$2+C8</f>
        <v>1820</v>
      </c>
      <c r="E8" s="76">
        <f t="shared" ref="E8:E39" si="2">((D8-VLOOKUP(D8,Tabla2022,1))*VLOOKUP(D8,Tabla2022,3))+VLOOKUP(D8,Tabla2022,2)</f>
        <v>134.92914842105262</v>
      </c>
      <c r="F8" s="76">
        <f t="shared" ref="F8:F39" si="3">IF(D8=0,0,VLOOKUP(D8,Subsidio2022,2))</f>
        <v>0</v>
      </c>
      <c r="G8" s="76">
        <f>IF(D8&lt;=$K$3,0,MAX(0,E8-F8))</f>
        <v>0</v>
      </c>
      <c r="H8" s="76">
        <f>MIN(0,E8-F8)*-1</f>
        <v>0</v>
      </c>
      <c r="I8" s="76">
        <f>+D8-G8+H8</f>
        <v>1820</v>
      </c>
      <c r="J8" s="76">
        <f t="shared" ref="J8:J39" si="4">IF(A8=0,0,$J$4)</f>
        <v>312</v>
      </c>
      <c r="K8" s="82"/>
      <c r="L8" s="83">
        <f>+J8*$C$2+K8</f>
        <v>2184</v>
      </c>
      <c r="M8" s="76">
        <f t="shared" ref="M8:M39" si="5">((L8-VLOOKUP(L8,Tabla2023,1))*VLOOKUP(L8,Tabla2023,3))+VLOOKUP(L8,Tabla2023,2)</f>
        <v>164.60318368421051</v>
      </c>
      <c r="N8" s="76">
        <f t="shared" ref="N8:N39" si="6">IF(L8=0,0,VLOOKUP(L8,Subsidio2022,2))</f>
        <v>0</v>
      </c>
      <c r="O8" s="76">
        <f>IF(L8&lt;=$L$3,0,MAX(0,M8-N8))</f>
        <v>0</v>
      </c>
      <c r="P8" s="76">
        <f>MIN(0,M8-N8)*-1</f>
        <v>0</v>
      </c>
      <c r="Q8" s="76">
        <f>+L8-O8+P8</f>
        <v>2184</v>
      </c>
      <c r="R8" s="84">
        <f>IF(I8=0,0,+Q8/I8-1)</f>
        <v>0.19999999999999996</v>
      </c>
    </row>
    <row r="9" spans="1:18" ht="15.75" customHeight="1">
      <c r="A9" s="81">
        <f t="shared" ref="A9:A40" si="7">IF(OR(A8=$E$2,A8=0),0,+A8+1)</f>
        <v>2</v>
      </c>
      <c r="B9" s="76">
        <f t="shared" si="1"/>
        <v>260</v>
      </c>
      <c r="C9" s="82"/>
      <c r="D9" s="83">
        <f t="shared" ref="D9:D60" si="8">+B9*$C$2+C9</f>
        <v>1820</v>
      </c>
      <c r="E9" s="76">
        <f t="shared" si="2"/>
        <v>134.92914842105262</v>
      </c>
      <c r="F9" s="76">
        <f t="shared" si="3"/>
        <v>0</v>
      </c>
      <c r="G9" s="76">
        <f t="shared" ref="G9:G60" si="9">IF(D9&lt;=$K$3,0,MAX(0,E9-F9))</f>
        <v>0</v>
      </c>
      <c r="H9" s="76">
        <f t="shared" ref="H9:H59" si="10">MIN(0,E9-F9)*-1</f>
        <v>0</v>
      </c>
      <c r="I9" s="76">
        <f t="shared" ref="I9:I59" si="11">+D9-G9+H9</f>
        <v>1820</v>
      </c>
      <c r="J9" s="76">
        <f t="shared" si="4"/>
        <v>312</v>
      </c>
      <c r="K9" s="82"/>
      <c r="L9" s="83">
        <f t="shared" ref="L9:L59" si="12">+J9*$C$2+K9</f>
        <v>2184</v>
      </c>
      <c r="M9" s="76">
        <f t="shared" si="5"/>
        <v>164.60318368421051</v>
      </c>
      <c r="N9" s="76">
        <f t="shared" si="6"/>
        <v>0</v>
      </c>
      <c r="O9" s="76">
        <f t="shared" ref="O9:O60" si="13">IF(L9&lt;=$L$3,0,MAX(0,M9-N9))</f>
        <v>0</v>
      </c>
      <c r="P9" s="76">
        <f t="shared" ref="P9:P59" si="14">MIN(0,M9-N9)*-1</f>
        <v>0</v>
      </c>
      <c r="Q9" s="76">
        <f t="shared" ref="Q9:Q59" si="15">+L9-O9+P9</f>
        <v>2184</v>
      </c>
      <c r="R9" s="84">
        <f t="shared" ref="R9:R59" si="16">IF(I9=0,0,+Q9/I9-1)</f>
        <v>0.19999999999999996</v>
      </c>
    </row>
    <row r="10" spans="1:18" ht="15.75" customHeight="1">
      <c r="A10" s="81">
        <f t="shared" si="7"/>
        <v>3</v>
      </c>
      <c r="B10" s="76">
        <f t="shared" si="1"/>
        <v>260</v>
      </c>
      <c r="C10" s="82">
        <v>100</v>
      </c>
      <c r="D10" s="83">
        <f t="shared" si="8"/>
        <v>1920</v>
      </c>
      <c r="E10" s="76">
        <f t="shared" si="2"/>
        <v>145.80914842105261</v>
      </c>
      <c r="F10" s="76">
        <f t="shared" si="3"/>
        <v>0</v>
      </c>
      <c r="G10" s="76">
        <f t="shared" si="9"/>
        <v>145.80914842105261</v>
      </c>
      <c r="H10" s="76">
        <f t="shared" si="10"/>
        <v>0</v>
      </c>
      <c r="I10" s="76">
        <f t="shared" si="11"/>
        <v>1774.1908515789473</v>
      </c>
      <c r="J10" s="76">
        <f t="shared" si="4"/>
        <v>312</v>
      </c>
      <c r="K10" s="82"/>
      <c r="L10" s="83">
        <f t="shared" si="12"/>
        <v>2184</v>
      </c>
      <c r="M10" s="76">
        <f t="shared" si="5"/>
        <v>164.60318368421051</v>
      </c>
      <c r="N10" s="76">
        <f t="shared" si="6"/>
        <v>0</v>
      </c>
      <c r="O10" s="76">
        <f t="shared" si="13"/>
        <v>0</v>
      </c>
      <c r="P10" s="76">
        <f t="shared" si="14"/>
        <v>0</v>
      </c>
      <c r="Q10" s="76">
        <f t="shared" si="15"/>
        <v>2184</v>
      </c>
      <c r="R10" s="84">
        <f t="shared" si="16"/>
        <v>0.23098368930058544</v>
      </c>
    </row>
    <row r="11" spans="1:18" ht="15.75" customHeight="1">
      <c r="A11" s="81">
        <f t="shared" si="7"/>
        <v>4</v>
      </c>
      <c r="B11" s="76">
        <f t="shared" si="1"/>
        <v>260</v>
      </c>
      <c r="C11" s="82"/>
      <c r="D11" s="83">
        <f t="shared" si="8"/>
        <v>1820</v>
      </c>
      <c r="E11" s="76">
        <f t="shared" si="2"/>
        <v>134.92914842105262</v>
      </c>
      <c r="F11" s="76">
        <f t="shared" si="3"/>
        <v>0</v>
      </c>
      <c r="G11" s="76">
        <f t="shared" si="9"/>
        <v>0</v>
      </c>
      <c r="H11" s="76">
        <f t="shared" si="10"/>
        <v>0</v>
      </c>
      <c r="I11" s="76">
        <f t="shared" si="11"/>
        <v>1820</v>
      </c>
      <c r="J11" s="76">
        <f t="shared" si="4"/>
        <v>312</v>
      </c>
      <c r="K11" s="82"/>
      <c r="L11" s="83">
        <f t="shared" si="12"/>
        <v>2184</v>
      </c>
      <c r="M11" s="76">
        <f t="shared" si="5"/>
        <v>164.60318368421051</v>
      </c>
      <c r="N11" s="76">
        <f t="shared" si="6"/>
        <v>0</v>
      </c>
      <c r="O11" s="76">
        <f t="shared" si="13"/>
        <v>0</v>
      </c>
      <c r="P11" s="76">
        <f t="shared" si="14"/>
        <v>0</v>
      </c>
      <c r="Q11" s="76">
        <f t="shared" si="15"/>
        <v>2184</v>
      </c>
      <c r="R11" s="84">
        <f t="shared" si="16"/>
        <v>0.19999999999999996</v>
      </c>
    </row>
    <row r="12" spans="1:18" ht="15.75" customHeight="1">
      <c r="A12" s="81">
        <f t="shared" si="7"/>
        <v>5</v>
      </c>
      <c r="B12" s="76">
        <f t="shared" si="1"/>
        <v>260</v>
      </c>
      <c r="C12" s="82"/>
      <c r="D12" s="83">
        <f t="shared" si="8"/>
        <v>1820</v>
      </c>
      <c r="E12" s="76">
        <f t="shared" si="2"/>
        <v>134.92914842105262</v>
      </c>
      <c r="F12" s="76">
        <f t="shared" si="3"/>
        <v>0</v>
      </c>
      <c r="G12" s="76">
        <f t="shared" si="9"/>
        <v>0</v>
      </c>
      <c r="H12" s="76">
        <f t="shared" si="10"/>
        <v>0</v>
      </c>
      <c r="I12" s="76">
        <f t="shared" si="11"/>
        <v>1820</v>
      </c>
      <c r="J12" s="76">
        <f t="shared" si="4"/>
        <v>312</v>
      </c>
      <c r="K12" s="82"/>
      <c r="L12" s="83">
        <f t="shared" si="12"/>
        <v>2184</v>
      </c>
      <c r="M12" s="76">
        <f t="shared" si="5"/>
        <v>164.60318368421051</v>
      </c>
      <c r="N12" s="76">
        <f t="shared" si="6"/>
        <v>0</v>
      </c>
      <c r="O12" s="76">
        <f t="shared" si="13"/>
        <v>0</v>
      </c>
      <c r="P12" s="76">
        <f t="shared" si="14"/>
        <v>0</v>
      </c>
      <c r="Q12" s="76">
        <f t="shared" si="15"/>
        <v>2184</v>
      </c>
      <c r="R12" s="84">
        <f t="shared" si="16"/>
        <v>0.19999999999999996</v>
      </c>
    </row>
    <row r="13" spans="1:18" ht="15.75" customHeight="1">
      <c r="A13" s="81">
        <f t="shared" si="7"/>
        <v>6</v>
      </c>
      <c r="B13" s="76">
        <f t="shared" si="1"/>
        <v>260</v>
      </c>
      <c r="C13" s="82"/>
      <c r="D13" s="83">
        <f t="shared" si="8"/>
        <v>1820</v>
      </c>
      <c r="E13" s="76">
        <f t="shared" si="2"/>
        <v>134.92914842105262</v>
      </c>
      <c r="F13" s="76">
        <f t="shared" si="3"/>
        <v>0</v>
      </c>
      <c r="G13" s="76">
        <f t="shared" si="9"/>
        <v>0</v>
      </c>
      <c r="H13" s="76">
        <f t="shared" si="10"/>
        <v>0</v>
      </c>
      <c r="I13" s="76">
        <f t="shared" si="11"/>
        <v>1820</v>
      </c>
      <c r="J13" s="76">
        <f t="shared" si="4"/>
        <v>312</v>
      </c>
      <c r="K13" s="82"/>
      <c r="L13" s="83">
        <f t="shared" si="12"/>
        <v>2184</v>
      </c>
      <c r="M13" s="76">
        <f t="shared" si="5"/>
        <v>164.60318368421051</v>
      </c>
      <c r="N13" s="76">
        <f t="shared" si="6"/>
        <v>0</v>
      </c>
      <c r="O13" s="76">
        <f t="shared" si="13"/>
        <v>0</v>
      </c>
      <c r="P13" s="76">
        <f t="shared" si="14"/>
        <v>0</v>
      </c>
      <c r="Q13" s="76">
        <f t="shared" si="15"/>
        <v>2184</v>
      </c>
      <c r="R13" s="84">
        <f t="shared" si="16"/>
        <v>0.19999999999999996</v>
      </c>
    </row>
    <row r="14" spans="1:18" ht="15.75" customHeight="1">
      <c r="A14" s="81">
        <f t="shared" si="7"/>
        <v>7</v>
      </c>
      <c r="B14" s="76">
        <f t="shared" si="1"/>
        <v>260</v>
      </c>
      <c r="C14" s="82"/>
      <c r="D14" s="83">
        <f t="shared" si="8"/>
        <v>1820</v>
      </c>
      <c r="E14" s="76">
        <f t="shared" si="2"/>
        <v>134.92914842105262</v>
      </c>
      <c r="F14" s="76">
        <f t="shared" si="3"/>
        <v>0</v>
      </c>
      <c r="G14" s="76">
        <f t="shared" si="9"/>
        <v>0</v>
      </c>
      <c r="H14" s="76">
        <f t="shared" si="10"/>
        <v>0</v>
      </c>
      <c r="I14" s="76">
        <f t="shared" si="11"/>
        <v>1820</v>
      </c>
      <c r="J14" s="76">
        <f t="shared" si="4"/>
        <v>312</v>
      </c>
      <c r="K14" s="82"/>
      <c r="L14" s="83">
        <f t="shared" si="12"/>
        <v>2184</v>
      </c>
      <c r="M14" s="76">
        <f t="shared" si="5"/>
        <v>164.60318368421051</v>
      </c>
      <c r="N14" s="76">
        <f t="shared" si="6"/>
        <v>0</v>
      </c>
      <c r="O14" s="76">
        <f t="shared" si="13"/>
        <v>0</v>
      </c>
      <c r="P14" s="76">
        <f t="shared" si="14"/>
        <v>0</v>
      </c>
      <c r="Q14" s="76">
        <f t="shared" si="15"/>
        <v>2184</v>
      </c>
      <c r="R14" s="84">
        <f t="shared" si="16"/>
        <v>0.19999999999999996</v>
      </c>
    </row>
    <row r="15" spans="1:18" ht="15.75" customHeight="1">
      <c r="A15" s="81">
        <f t="shared" si="7"/>
        <v>8</v>
      </c>
      <c r="B15" s="76">
        <f t="shared" si="1"/>
        <v>260</v>
      </c>
      <c r="C15" s="82"/>
      <c r="D15" s="83">
        <f t="shared" si="8"/>
        <v>1820</v>
      </c>
      <c r="E15" s="76">
        <f t="shared" si="2"/>
        <v>134.92914842105262</v>
      </c>
      <c r="F15" s="76">
        <f t="shared" si="3"/>
        <v>0</v>
      </c>
      <c r="G15" s="76">
        <f t="shared" si="9"/>
        <v>0</v>
      </c>
      <c r="H15" s="76">
        <f t="shared" si="10"/>
        <v>0</v>
      </c>
      <c r="I15" s="76">
        <f t="shared" si="11"/>
        <v>1820</v>
      </c>
      <c r="J15" s="76">
        <f t="shared" si="4"/>
        <v>312</v>
      </c>
      <c r="K15" s="82"/>
      <c r="L15" s="83">
        <f t="shared" si="12"/>
        <v>2184</v>
      </c>
      <c r="M15" s="76">
        <f t="shared" si="5"/>
        <v>164.60318368421051</v>
      </c>
      <c r="N15" s="76">
        <f t="shared" si="6"/>
        <v>0</v>
      </c>
      <c r="O15" s="76">
        <f t="shared" si="13"/>
        <v>0</v>
      </c>
      <c r="P15" s="76">
        <f t="shared" si="14"/>
        <v>0</v>
      </c>
      <c r="Q15" s="76">
        <f t="shared" si="15"/>
        <v>2184</v>
      </c>
      <c r="R15" s="84">
        <f t="shared" si="16"/>
        <v>0.19999999999999996</v>
      </c>
    </row>
    <row r="16" spans="1:18" ht="15.75" customHeight="1">
      <c r="A16" s="81">
        <f t="shared" si="7"/>
        <v>9</v>
      </c>
      <c r="B16" s="76">
        <f t="shared" si="1"/>
        <v>260</v>
      </c>
      <c r="C16" s="82"/>
      <c r="D16" s="83">
        <f t="shared" si="8"/>
        <v>1820</v>
      </c>
      <c r="E16" s="76">
        <f t="shared" si="2"/>
        <v>134.92914842105262</v>
      </c>
      <c r="F16" s="76">
        <f t="shared" si="3"/>
        <v>0</v>
      </c>
      <c r="G16" s="76">
        <f t="shared" si="9"/>
        <v>0</v>
      </c>
      <c r="H16" s="76">
        <f t="shared" si="10"/>
        <v>0</v>
      </c>
      <c r="I16" s="76">
        <f t="shared" si="11"/>
        <v>1820</v>
      </c>
      <c r="J16" s="76">
        <f t="shared" si="4"/>
        <v>312</v>
      </c>
      <c r="K16" s="82"/>
      <c r="L16" s="83">
        <f t="shared" si="12"/>
        <v>2184</v>
      </c>
      <c r="M16" s="76">
        <f t="shared" si="5"/>
        <v>164.60318368421051</v>
      </c>
      <c r="N16" s="76">
        <f t="shared" si="6"/>
        <v>0</v>
      </c>
      <c r="O16" s="76">
        <f t="shared" si="13"/>
        <v>0</v>
      </c>
      <c r="P16" s="76">
        <f t="shared" si="14"/>
        <v>0</v>
      </c>
      <c r="Q16" s="76">
        <f t="shared" si="15"/>
        <v>2184</v>
      </c>
      <c r="R16" s="84">
        <f t="shared" si="16"/>
        <v>0.19999999999999996</v>
      </c>
    </row>
    <row r="17" spans="1:18" ht="15.75" customHeight="1">
      <c r="A17" s="81">
        <f t="shared" si="7"/>
        <v>10</v>
      </c>
      <c r="B17" s="76">
        <f t="shared" si="1"/>
        <v>260</v>
      </c>
      <c r="C17" s="82"/>
      <c r="D17" s="83">
        <f t="shared" si="8"/>
        <v>1820</v>
      </c>
      <c r="E17" s="76">
        <f t="shared" si="2"/>
        <v>134.92914842105262</v>
      </c>
      <c r="F17" s="76">
        <f t="shared" si="3"/>
        <v>0</v>
      </c>
      <c r="G17" s="76">
        <f t="shared" si="9"/>
        <v>0</v>
      </c>
      <c r="H17" s="76">
        <f t="shared" si="10"/>
        <v>0</v>
      </c>
      <c r="I17" s="76">
        <f t="shared" si="11"/>
        <v>1820</v>
      </c>
      <c r="J17" s="76">
        <f t="shared" si="4"/>
        <v>312</v>
      </c>
      <c r="K17" s="82"/>
      <c r="L17" s="83">
        <f t="shared" si="12"/>
        <v>2184</v>
      </c>
      <c r="M17" s="76">
        <f t="shared" si="5"/>
        <v>164.60318368421051</v>
      </c>
      <c r="N17" s="76">
        <f t="shared" si="6"/>
        <v>0</v>
      </c>
      <c r="O17" s="76">
        <f t="shared" si="13"/>
        <v>0</v>
      </c>
      <c r="P17" s="76">
        <f t="shared" si="14"/>
        <v>0</v>
      </c>
      <c r="Q17" s="76">
        <f t="shared" si="15"/>
        <v>2184</v>
      </c>
      <c r="R17" s="84">
        <f t="shared" si="16"/>
        <v>0.19999999999999996</v>
      </c>
    </row>
    <row r="18" spans="1:18">
      <c r="A18" s="81">
        <f t="shared" si="7"/>
        <v>11</v>
      </c>
      <c r="B18" s="76">
        <f t="shared" si="1"/>
        <v>260</v>
      </c>
      <c r="C18" s="82"/>
      <c r="D18" s="83">
        <f t="shared" si="8"/>
        <v>1820</v>
      </c>
      <c r="E18" s="76">
        <f t="shared" si="2"/>
        <v>134.92914842105262</v>
      </c>
      <c r="F18" s="76">
        <f t="shared" si="3"/>
        <v>0</v>
      </c>
      <c r="G18" s="76">
        <f t="shared" si="9"/>
        <v>0</v>
      </c>
      <c r="H18" s="76">
        <f t="shared" si="10"/>
        <v>0</v>
      </c>
      <c r="I18" s="76">
        <f t="shared" si="11"/>
        <v>1820</v>
      </c>
      <c r="J18" s="76">
        <f t="shared" si="4"/>
        <v>312</v>
      </c>
      <c r="K18" s="82"/>
      <c r="L18" s="83">
        <f t="shared" si="12"/>
        <v>2184</v>
      </c>
      <c r="M18" s="76">
        <f t="shared" si="5"/>
        <v>164.60318368421051</v>
      </c>
      <c r="N18" s="76">
        <f t="shared" si="6"/>
        <v>0</v>
      </c>
      <c r="O18" s="76">
        <f t="shared" si="13"/>
        <v>0</v>
      </c>
      <c r="P18" s="76">
        <f t="shared" si="14"/>
        <v>0</v>
      </c>
      <c r="Q18" s="76">
        <f t="shared" si="15"/>
        <v>2184</v>
      </c>
      <c r="R18" s="84">
        <f t="shared" si="16"/>
        <v>0.19999999999999996</v>
      </c>
    </row>
    <row r="19" spans="1:18">
      <c r="A19" s="81">
        <f t="shared" si="7"/>
        <v>12</v>
      </c>
      <c r="B19" s="76">
        <f t="shared" si="1"/>
        <v>260</v>
      </c>
      <c r="C19" s="82"/>
      <c r="D19" s="83">
        <f t="shared" si="8"/>
        <v>1820</v>
      </c>
      <c r="E19" s="76">
        <f t="shared" si="2"/>
        <v>134.92914842105262</v>
      </c>
      <c r="F19" s="76">
        <f t="shared" si="3"/>
        <v>0</v>
      </c>
      <c r="G19" s="76">
        <f>IF(D19&lt;=$K$3,0,MAX(0,E19-F19))</f>
        <v>0</v>
      </c>
      <c r="H19" s="76">
        <f t="shared" si="10"/>
        <v>0</v>
      </c>
      <c r="I19" s="76">
        <f t="shared" si="11"/>
        <v>1820</v>
      </c>
      <c r="J19" s="76">
        <f t="shared" si="4"/>
        <v>312</v>
      </c>
      <c r="K19" s="82"/>
      <c r="L19" s="83">
        <f t="shared" si="12"/>
        <v>2184</v>
      </c>
      <c r="M19" s="76">
        <f t="shared" si="5"/>
        <v>164.60318368421051</v>
      </c>
      <c r="N19" s="76">
        <f t="shared" si="6"/>
        <v>0</v>
      </c>
      <c r="O19" s="76">
        <f t="shared" si="13"/>
        <v>0</v>
      </c>
      <c r="P19" s="76">
        <f t="shared" si="14"/>
        <v>0</v>
      </c>
      <c r="Q19" s="76">
        <f t="shared" si="15"/>
        <v>2184</v>
      </c>
      <c r="R19" s="84">
        <f t="shared" si="16"/>
        <v>0.19999999999999996</v>
      </c>
    </row>
    <row r="20" spans="1:18">
      <c r="A20" s="81">
        <f t="shared" si="7"/>
        <v>13</v>
      </c>
      <c r="B20" s="76">
        <f t="shared" si="1"/>
        <v>260</v>
      </c>
      <c r="C20" s="82"/>
      <c r="D20" s="83">
        <f t="shared" si="8"/>
        <v>1820</v>
      </c>
      <c r="E20" s="76">
        <f t="shared" si="2"/>
        <v>134.92914842105262</v>
      </c>
      <c r="F20" s="76">
        <f t="shared" si="3"/>
        <v>0</v>
      </c>
      <c r="G20" s="76">
        <f t="shared" si="9"/>
        <v>0</v>
      </c>
      <c r="H20" s="76">
        <f t="shared" si="10"/>
        <v>0</v>
      </c>
      <c r="I20" s="76">
        <f t="shared" si="11"/>
        <v>1820</v>
      </c>
      <c r="J20" s="76">
        <f t="shared" si="4"/>
        <v>312</v>
      </c>
      <c r="K20" s="82"/>
      <c r="L20" s="83">
        <f t="shared" si="12"/>
        <v>2184</v>
      </c>
      <c r="M20" s="76">
        <f t="shared" si="5"/>
        <v>164.60318368421051</v>
      </c>
      <c r="N20" s="76">
        <f t="shared" si="6"/>
        <v>0</v>
      </c>
      <c r="O20" s="76">
        <f t="shared" si="13"/>
        <v>0</v>
      </c>
      <c r="P20" s="76">
        <f t="shared" si="14"/>
        <v>0</v>
      </c>
      <c r="Q20" s="76">
        <f t="shared" si="15"/>
        <v>2184</v>
      </c>
      <c r="R20" s="84">
        <f t="shared" si="16"/>
        <v>0.19999999999999996</v>
      </c>
    </row>
    <row r="21" spans="1:18">
      <c r="A21" s="81">
        <f t="shared" si="7"/>
        <v>14</v>
      </c>
      <c r="B21" s="76">
        <f t="shared" si="1"/>
        <v>260</v>
      </c>
      <c r="C21" s="82"/>
      <c r="D21" s="83">
        <f t="shared" si="8"/>
        <v>1820</v>
      </c>
      <c r="E21" s="76">
        <f t="shared" si="2"/>
        <v>134.92914842105262</v>
      </c>
      <c r="F21" s="76">
        <f t="shared" si="3"/>
        <v>0</v>
      </c>
      <c r="G21" s="76">
        <f t="shared" si="9"/>
        <v>0</v>
      </c>
      <c r="H21" s="76">
        <f t="shared" si="10"/>
        <v>0</v>
      </c>
      <c r="I21" s="76">
        <f t="shared" si="11"/>
        <v>1820</v>
      </c>
      <c r="J21" s="76">
        <f t="shared" si="4"/>
        <v>312</v>
      </c>
      <c r="K21" s="82"/>
      <c r="L21" s="83">
        <f t="shared" si="12"/>
        <v>2184</v>
      </c>
      <c r="M21" s="76">
        <f t="shared" si="5"/>
        <v>164.60318368421051</v>
      </c>
      <c r="N21" s="76">
        <f t="shared" si="6"/>
        <v>0</v>
      </c>
      <c r="O21" s="76">
        <f t="shared" si="13"/>
        <v>0</v>
      </c>
      <c r="P21" s="76">
        <f t="shared" si="14"/>
        <v>0</v>
      </c>
      <c r="Q21" s="76">
        <f t="shared" si="15"/>
        <v>2184</v>
      </c>
      <c r="R21" s="84">
        <f t="shared" si="16"/>
        <v>0.19999999999999996</v>
      </c>
    </row>
    <row r="22" spans="1:18">
      <c r="A22" s="81">
        <f t="shared" si="7"/>
        <v>15</v>
      </c>
      <c r="B22" s="76">
        <f t="shared" si="1"/>
        <v>260</v>
      </c>
      <c r="C22" s="82"/>
      <c r="D22" s="83">
        <f t="shared" si="8"/>
        <v>1820</v>
      </c>
      <c r="E22" s="76">
        <f t="shared" si="2"/>
        <v>134.92914842105262</v>
      </c>
      <c r="F22" s="76">
        <f t="shared" si="3"/>
        <v>0</v>
      </c>
      <c r="G22" s="76">
        <f t="shared" si="9"/>
        <v>0</v>
      </c>
      <c r="H22" s="76">
        <f t="shared" si="10"/>
        <v>0</v>
      </c>
      <c r="I22" s="76">
        <f t="shared" si="11"/>
        <v>1820</v>
      </c>
      <c r="J22" s="76">
        <f t="shared" si="4"/>
        <v>312</v>
      </c>
      <c r="K22" s="82"/>
      <c r="L22" s="83">
        <f t="shared" si="12"/>
        <v>2184</v>
      </c>
      <c r="M22" s="76">
        <f t="shared" si="5"/>
        <v>164.60318368421051</v>
      </c>
      <c r="N22" s="76">
        <f t="shared" si="6"/>
        <v>0</v>
      </c>
      <c r="O22" s="76">
        <f t="shared" si="13"/>
        <v>0</v>
      </c>
      <c r="P22" s="76">
        <f t="shared" si="14"/>
        <v>0</v>
      </c>
      <c r="Q22" s="76">
        <f t="shared" si="15"/>
        <v>2184</v>
      </c>
      <c r="R22" s="84">
        <f t="shared" si="16"/>
        <v>0.19999999999999996</v>
      </c>
    </row>
    <row r="23" spans="1:18">
      <c r="A23" s="81">
        <f t="shared" si="7"/>
        <v>16</v>
      </c>
      <c r="B23" s="76">
        <f t="shared" si="1"/>
        <v>260</v>
      </c>
      <c r="C23" s="82"/>
      <c r="D23" s="83">
        <f t="shared" si="8"/>
        <v>1820</v>
      </c>
      <c r="E23" s="76">
        <f t="shared" si="2"/>
        <v>134.92914842105262</v>
      </c>
      <c r="F23" s="76">
        <f t="shared" si="3"/>
        <v>0</v>
      </c>
      <c r="G23" s="76">
        <f t="shared" si="9"/>
        <v>0</v>
      </c>
      <c r="H23" s="76">
        <f t="shared" si="10"/>
        <v>0</v>
      </c>
      <c r="I23" s="76">
        <f t="shared" si="11"/>
        <v>1820</v>
      </c>
      <c r="J23" s="76">
        <f t="shared" si="4"/>
        <v>312</v>
      </c>
      <c r="K23" s="82"/>
      <c r="L23" s="83">
        <f t="shared" si="12"/>
        <v>2184</v>
      </c>
      <c r="M23" s="76">
        <f t="shared" si="5"/>
        <v>164.60318368421051</v>
      </c>
      <c r="N23" s="76">
        <f t="shared" si="6"/>
        <v>0</v>
      </c>
      <c r="O23" s="76">
        <f t="shared" si="13"/>
        <v>0</v>
      </c>
      <c r="P23" s="76">
        <f t="shared" si="14"/>
        <v>0</v>
      </c>
      <c r="Q23" s="76">
        <f t="shared" si="15"/>
        <v>2184</v>
      </c>
      <c r="R23" s="84">
        <f t="shared" si="16"/>
        <v>0.19999999999999996</v>
      </c>
    </row>
    <row r="24" spans="1:18">
      <c r="A24" s="81">
        <f t="shared" si="7"/>
        <v>17</v>
      </c>
      <c r="B24" s="76">
        <f t="shared" si="1"/>
        <v>260</v>
      </c>
      <c r="C24" s="82"/>
      <c r="D24" s="83">
        <f t="shared" si="8"/>
        <v>1820</v>
      </c>
      <c r="E24" s="76">
        <f t="shared" si="2"/>
        <v>134.92914842105262</v>
      </c>
      <c r="F24" s="76">
        <f t="shared" si="3"/>
        <v>0</v>
      </c>
      <c r="G24" s="76">
        <f t="shared" si="9"/>
        <v>0</v>
      </c>
      <c r="H24" s="76">
        <f t="shared" si="10"/>
        <v>0</v>
      </c>
      <c r="I24" s="76">
        <f t="shared" si="11"/>
        <v>1820</v>
      </c>
      <c r="J24" s="76">
        <f t="shared" si="4"/>
        <v>312</v>
      </c>
      <c r="K24" s="82"/>
      <c r="L24" s="83">
        <f t="shared" si="12"/>
        <v>2184</v>
      </c>
      <c r="M24" s="76">
        <f t="shared" si="5"/>
        <v>164.60318368421051</v>
      </c>
      <c r="N24" s="76">
        <f t="shared" si="6"/>
        <v>0</v>
      </c>
      <c r="O24" s="76">
        <f t="shared" si="13"/>
        <v>0</v>
      </c>
      <c r="P24" s="76">
        <f t="shared" si="14"/>
        <v>0</v>
      </c>
      <c r="Q24" s="76">
        <f t="shared" si="15"/>
        <v>2184</v>
      </c>
      <c r="R24" s="84">
        <f t="shared" si="16"/>
        <v>0.19999999999999996</v>
      </c>
    </row>
    <row r="25" spans="1:18">
      <c r="A25" s="81">
        <f t="shared" si="7"/>
        <v>18</v>
      </c>
      <c r="B25" s="76">
        <f t="shared" si="1"/>
        <v>260</v>
      </c>
      <c r="C25" s="82"/>
      <c r="D25" s="83">
        <f t="shared" si="8"/>
        <v>1820</v>
      </c>
      <c r="E25" s="76">
        <f t="shared" si="2"/>
        <v>134.92914842105262</v>
      </c>
      <c r="F25" s="76">
        <f t="shared" si="3"/>
        <v>0</v>
      </c>
      <c r="G25" s="76">
        <f t="shared" si="9"/>
        <v>0</v>
      </c>
      <c r="H25" s="76">
        <f t="shared" si="10"/>
        <v>0</v>
      </c>
      <c r="I25" s="76">
        <f t="shared" si="11"/>
        <v>1820</v>
      </c>
      <c r="J25" s="76">
        <f t="shared" si="4"/>
        <v>312</v>
      </c>
      <c r="K25" s="82"/>
      <c r="L25" s="83">
        <f t="shared" si="12"/>
        <v>2184</v>
      </c>
      <c r="M25" s="76">
        <f t="shared" si="5"/>
        <v>164.60318368421051</v>
      </c>
      <c r="N25" s="76">
        <f t="shared" si="6"/>
        <v>0</v>
      </c>
      <c r="O25" s="76">
        <f t="shared" si="13"/>
        <v>0</v>
      </c>
      <c r="P25" s="76">
        <f t="shared" si="14"/>
        <v>0</v>
      </c>
      <c r="Q25" s="76">
        <f t="shared" si="15"/>
        <v>2184</v>
      </c>
      <c r="R25" s="84">
        <f t="shared" si="16"/>
        <v>0.19999999999999996</v>
      </c>
    </row>
    <row r="26" spans="1:18">
      <c r="A26" s="81">
        <f t="shared" si="7"/>
        <v>19</v>
      </c>
      <c r="B26" s="76">
        <f t="shared" si="1"/>
        <v>260</v>
      </c>
      <c r="C26" s="82"/>
      <c r="D26" s="83">
        <f t="shared" si="8"/>
        <v>1820</v>
      </c>
      <c r="E26" s="76">
        <f t="shared" si="2"/>
        <v>134.92914842105262</v>
      </c>
      <c r="F26" s="76">
        <f t="shared" si="3"/>
        <v>0</v>
      </c>
      <c r="G26" s="76">
        <f t="shared" si="9"/>
        <v>0</v>
      </c>
      <c r="H26" s="76">
        <f t="shared" si="10"/>
        <v>0</v>
      </c>
      <c r="I26" s="76">
        <f t="shared" si="11"/>
        <v>1820</v>
      </c>
      <c r="J26" s="76">
        <f t="shared" si="4"/>
        <v>312</v>
      </c>
      <c r="K26" s="82"/>
      <c r="L26" s="83">
        <f t="shared" si="12"/>
        <v>2184</v>
      </c>
      <c r="M26" s="76">
        <f t="shared" si="5"/>
        <v>164.60318368421051</v>
      </c>
      <c r="N26" s="76">
        <f t="shared" si="6"/>
        <v>0</v>
      </c>
      <c r="O26" s="76">
        <f t="shared" si="13"/>
        <v>0</v>
      </c>
      <c r="P26" s="76">
        <f t="shared" si="14"/>
        <v>0</v>
      </c>
      <c r="Q26" s="76">
        <f t="shared" si="15"/>
        <v>2184</v>
      </c>
      <c r="R26" s="84">
        <f t="shared" si="16"/>
        <v>0.19999999999999996</v>
      </c>
    </row>
    <row r="27" spans="1:18">
      <c r="A27" s="81">
        <f t="shared" si="7"/>
        <v>20</v>
      </c>
      <c r="B27" s="76">
        <f t="shared" si="1"/>
        <v>260</v>
      </c>
      <c r="C27" s="82"/>
      <c r="D27" s="83">
        <f t="shared" si="8"/>
        <v>1820</v>
      </c>
      <c r="E27" s="76">
        <f t="shared" si="2"/>
        <v>134.92914842105262</v>
      </c>
      <c r="F27" s="76">
        <f t="shared" si="3"/>
        <v>0</v>
      </c>
      <c r="G27" s="76">
        <f t="shared" si="9"/>
        <v>0</v>
      </c>
      <c r="H27" s="76">
        <f t="shared" si="10"/>
        <v>0</v>
      </c>
      <c r="I27" s="76">
        <f t="shared" si="11"/>
        <v>1820</v>
      </c>
      <c r="J27" s="76">
        <f t="shared" si="4"/>
        <v>312</v>
      </c>
      <c r="K27" s="82"/>
      <c r="L27" s="83">
        <f t="shared" si="12"/>
        <v>2184</v>
      </c>
      <c r="M27" s="76">
        <f t="shared" si="5"/>
        <v>164.60318368421051</v>
      </c>
      <c r="N27" s="76">
        <f t="shared" si="6"/>
        <v>0</v>
      </c>
      <c r="O27" s="76">
        <f t="shared" si="13"/>
        <v>0</v>
      </c>
      <c r="P27" s="76">
        <f t="shared" si="14"/>
        <v>0</v>
      </c>
      <c r="Q27" s="76">
        <f t="shared" si="15"/>
        <v>2184</v>
      </c>
      <c r="R27" s="84">
        <f t="shared" si="16"/>
        <v>0.19999999999999996</v>
      </c>
    </row>
    <row r="28" spans="1:18">
      <c r="A28" s="81">
        <f t="shared" si="7"/>
        <v>21</v>
      </c>
      <c r="B28" s="76">
        <f t="shared" si="1"/>
        <v>260</v>
      </c>
      <c r="C28" s="82"/>
      <c r="D28" s="83">
        <f t="shared" si="8"/>
        <v>1820</v>
      </c>
      <c r="E28" s="76">
        <f t="shared" si="2"/>
        <v>134.92914842105262</v>
      </c>
      <c r="F28" s="76">
        <f t="shared" si="3"/>
        <v>0</v>
      </c>
      <c r="G28" s="76">
        <f t="shared" si="9"/>
        <v>0</v>
      </c>
      <c r="H28" s="76">
        <f t="shared" si="10"/>
        <v>0</v>
      </c>
      <c r="I28" s="76">
        <f t="shared" si="11"/>
        <v>1820</v>
      </c>
      <c r="J28" s="76">
        <f t="shared" si="4"/>
        <v>312</v>
      </c>
      <c r="K28" s="82"/>
      <c r="L28" s="83">
        <f t="shared" si="12"/>
        <v>2184</v>
      </c>
      <c r="M28" s="76">
        <f t="shared" si="5"/>
        <v>164.60318368421051</v>
      </c>
      <c r="N28" s="76">
        <f t="shared" si="6"/>
        <v>0</v>
      </c>
      <c r="O28" s="76">
        <f t="shared" si="13"/>
        <v>0</v>
      </c>
      <c r="P28" s="76">
        <f t="shared" si="14"/>
        <v>0</v>
      </c>
      <c r="Q28" s="76">
        <f t="shared" si="15"/>
        <v>2184</v>
      </c>
      <c r="R28" s="84">
        <f t="shared" si="16"/>
        <v>0.19999999999999996</v>
      </c>
    </row>
    <row r="29" spans="1:18">
      <c r="A29" s="81">
        <f t="shared" si="7"/>
        <v>22</v>
      </c>
      <c r="B29" s="76">
        <f t="shared" si="1"/>
        <v>260</v>
      </c>
      <c r="C29" s="82"/>
      <c r="D29" s="83">
        <f t="shared" si="8"/>
        <v>1820</v>
      </c>
      <c r="E29" s="76">
        <f t="shared" si="2"/>
        <v>134.92914842105262</v>
      </c>
      <c r="F29" s="76">
        <f t="shared" si="3"/>
        <v>0</v>
      </c>
      <c r="G29" s="76">
        <f t="shared" si="9"/>
        <v>0</v>
      </c>
      <c r="H29" s="76">
        <f t="shared" si="10"/>
        <v>0</v>
      </c>
      <c r="I29" s="76">
        <f t="shared" si="11"/>
        <v>1820</v>
      </c>
      <c r="J29" s="76">
        <f t="shared" si="4"/>
        <v>312</v>
      </c>
      <c r="K29" s="82"/>
      <c r="L29" s="83">
        <f t="shared" si="12"/>
        <v>2184</v>
      </c>
      <c r="M29" s="76">
        <f t="shared" si="5"/>
        <v>164.60318368421051</v>
      </c>
      <c r="N29" s="76">
        <f t="shared" si="6"/>
        <v>0</v>
      </c>
      <c r="O29" s="76">
        <f t="shared" si="13"/>
        <v>0</v>
      </c>
      <c r="P29" s="76">
        <f t="shared" si="14"/>
        <v>0</v>
      </c>
      <c r="Q29" s="76">
        <f t="shared" si="15"/>
        <v>2184</v>
      </c>
      <c r="R29" s="84">
        <f t="shared" si="16"/>
        <v>0.19999999999999996</v>
      </c>
    </row>
    <row r="30" spans="1:18">
      <c r="A30" s="81">
        <f t="shared" si="7"/>
        <v>23</v>
      </c>
      <c r="B30" s="76">
        <f t="shared" si="1"/>
        <v>260</v>
      </c>
      <c r="C30" s="82"/>
      <c r="D30" s="83">
        <f t="shared" si="8"/>
        <v>1820</v>
      </c>
      <c r="E30" s="76">
        <f t="shared" si="2"/>
        <v>134.92914842105262</v>
      </c>
      <c r="F30" s="76">
        <f t="shared" si="3"/>
        <v>0</v>
      </c>
      <c r="G30" s="76">
        <f t="shared" si="9"/>
        <v>0</v>
      </c>
      <c r="H30" s="76">
        <f t="shared" si="10"/>
        <v>0</v>
      </c>
      <c r="I30" s="76">
        <f t="shared" si="11"/>
        <v>1820</v>
      </c>
      <c r="J30" s="76">
        <f t="shared" si="4"/>
        <v>312</v>
      </c>
      <c r="K30" s="82"/>
      <c r="L30" s="83">
        <f t="shared" si="12"/>
        <v>2184</v>
      </c>
      <c r="M30" s="76">
        <f t="shared" si="5"/>
        <v>164.60318368421051</v>
      </c>
      <c r="N30" s="76">
        <f t="shared" si="6"/>
        <v>0</v>
      </c>
      <c r="O30" s="76">
        <f t="shared" si="13"/>
        <v>0</v>
      </c>
      <c r="P30" s="76">
        <f t="shared" si="14"/>
        <v>0</v>
      </c>
      <c r="Q30" s="76">
        <f t="shared" si="15"/>
        <v>2184</v>
      </c>
      <c r="R30" s="84">
        <f t="shared" si="16"/>
        <v>0.19999999999999996</v>
      </c>
    </row>
    <row r="31" spans="1:18">
      <c r="A31" s="81">
        <f t="shared" si="7"/>
        <v>24</v>
      </c>
      <c r="B31" s="76">
        <f t="shared" si="1"/>
        <v>260</v>
      </c>
      <c r="C31" s="82"/>
      <c r="D31" s="83">
        <f t="shared" si="8"/>
        <v>1820</v>
      </c>
      <c r="E31" s="76">
        <f t="shared" si="2"/>
        <v>134.92914842105262</v>
      </c>
      <c r="F31" s="76">
        <f t="shared" si="3"/>
        <v>0</v>
      </c>
      <c r="G31" s="76">
        <f t="shared" si="9"/>
        <v>0</v>
      </c>
      <c r="H31" s="76">
        <f t="shared" si="10"/>
        <v>0</v>
      </c>
      <c r="I31" s="76">
        <f t="shared" si="11"/>
        <v>1820</v>
      </c>
      <c r="J31" s="76">
        <f t="shared" si="4"/>
        <v>312</v>
      </c>
      <c r="K31" s="82"/>
      <c r="L31" s="83">
        <f t="shared" si="12"/>
        <v>2184</v>
      </c>
      <c r="M31" s="76">
        <f t="shared" si="5"/>
        <v>164.60318368421051</v>
      </c>
      <c r="N31" s="76">
        <f t="shared" si="6"/>
        <v>0</v>
      </c>
      <c r="O31" s="76">
        <f t="shared" si="13"/>
        <v>0</v>
      </c>
      <c r="P31" s="76">
        <f t="shared" si="14"/>
        <v>0</v>
      </c>
      <c r="Q31" s="76">
        <f t="shared" si="15"/>
        <v>2184</v>
      </c>
      <c r="R31" s="84">
        <f t="shared" si="16"/>
        <v>0.19999999999999996</v>
      </c>
    </row>
    <row r="32" spans="1:18">
      <c r="A32" s="81">
        <f t="shared" si="7"/>
        <v>25</v>
      </c>
      <c r="B32" s="76">
        <f t="shared" si="1"/>
        <v>260</v>
      </c>
      <c r="C32" s="82"/>
      <c r="D32" s="83">
        <f t="shared" si="8"/>
        <v>1820</v>
      </c>
      <c r="E32" s="76">
        <f t="shared" si="2"/>
        <v>134.92914842105262</v>
      </c>
      <c r="F32" s="76">
        <f t="shared" si="3"/>
        <v>0</v>
      </c>
      <c r="G32" s="76">
        <f t="shared" si="9"/>
        <v>0</v>
      </c>
      <c r="H32" s="76">
        <f t="shared" si="10"/>
        <v>0</v>
      </c>
      <c r="I32" s="76">
        <f t="shared" si="11"/>
        <v>1820</v>
      </c>
      <c r="J32" s="76">
        <f t="shared" si="4"/>
        <v>312</v>
      </c>
      <c r="K32" s="82"/>
      <c r="L32" s="83">
        <f t="shared" si="12"/>
        <v>2184</v>
      </c>
      <c r="M32" s="76">
        <f t="shared" si="5"/>
        <v>164.60318368421051</v>
      </c>
      <c r="N32" s="76">
        <f t="shared" si="6"/>
        <v>0</v>
      </c>
      <c r="O32" s="76">
        <f t="shared" si="13"/>
        <v>0</v>
      </c>
      <c r="P32" s="76">
        <f t="shared" si="14"/>
        <v>0</v>
      </c>
      <c r="Q32" s="76">
        <f t="shared" si="15"/>
        <v>2184</v>
      </c>
      <c r="R32" s="84">
        <f t="shared" si="16"/>
        <v>0.19999999999999996</v>
      </c>
    </row>
    <row r="33" spans="1:18">
      <c r="A33" s="81">
        <f t="shared" si="7"/>
        <v>26</v>
      </c>
      <c r="B33" s="76">
        <f t="shared" si="1"/>
        <v>260</v>
      </c>
      <c r="C33" s="82"/>
      <c r="D33" s="83">
        <f t="shared" si="8"/>
        <v>1820</v>
      </c>
      <c r="E33" s="76">
        <f t="shared" si="2"/>
        <v>134.92914842105262</v>
      </c>
      <c r="F33" s="76">
        <f t="shared" si="3"/>
        <v>0</v>
      </c>
      <c r="G33" s="76">
        <f t="shared" si="9"/>
        <v>0</v>
      </c>
      <c r="H33" s="76">
        <f t="shared" si="10"/>
        <v>0</v>
      </c>
      <c r="I33" s="76">
        <f t="shared" si="11"/>
        <v>1820</v>
      </c>
      <c r="J33" s="76">
        <f t="shared" si="4"/>
        <v>312</v>
      </c>
      <c r="K33" s="82"/>
      <c r="L33" s="83">
        <f t="shared" si="12"/>
        <v>2184</v>
      </c>
      <c r="M33" s="76">
        <f t="shared" si="5"/>
        <v>164.60318368421051</v>
      </c>
      <c r="N33" s="76">
        <f t="shared" si="6"/>
        <v>0</v>
      </c>
      <c r="O33" s="76">
        <f t="shared" si="13"/>
        <v>0</v>
      </c>
      <c r="P33" s="76">
        <f t="shared" si="14"/>
        <v>0</v>
      </c>
      <c r="Q33" s="76">
        <f t="shared" si="15"/>
        <v>2184</v>
      </c>
      <c r="R33" s="84">
        <f t="shared" si="16"/>
        <v>0.19999999999999996</v>
      </c>
    </row>
    <row r="34" spans="1:18">
      <c r="A34" s="81">
        <f t="shared" si="7"/>
        <v>27</v>
      </c>
      <c r="B34" s="76">
        <f t="shared" si="1"/>
        <v>260</v>
      </c>
      <c r="C34" s="82"/>
      <c r="D34" s="83">
        <f t="shared" si="8"/>
        <v>1820</v>
      </c>
      <c r="E34" s="76">
        <f t="shared" si="2"/>
        <v>134.92914842105262</v>
      </c>
      <c r="F34" s="76">
        <f t="shared" si="3"/>
        <v>0</v>
      </c>
      <c r="G34" s="76">
        <f t="shared" si="9"/>
        <v>0</v>
      </c>
      <c r="H34" s="76">
        <f t="shared" si="10"/>
        <v>0</v>
      </c>
      <c r="I34" s="76">
        <f t="shared" si="11"/>
        <v>1820</v>
      </c>
      <c r="J34" s="76">
        <f t="shared" si="4"/>
        <v>312</v>
      </c>
      <c r="K34" s="82"/>
      <c r="L34" s="83">
        <f t="shared" si="12"/>
        <v>2184</v>
      </c>
      <c r="M34" s="76">
        <f t="shared" si="5"/>
        <v>164.60318368421051</v>
      </c>
      <c r="N34" s="76">
        <f t="shared" si="6"/>
        <v>0</v>
      </c>
      <c r="O34" s="76">
        <f t="shared" si="13"/>
        <v>0</v>
      </c>
      <c r="P34" s="76">
        <f t="shared" si="14"/>
        <v>0</v>
      </c>
      <c r="Q34" s="76">
        <f t="shared" si="15"/>
        <v>2184</v>
      </c>
      <c r="R34" s="84">
        <f t="shared" si="16"/>
        <v>0.19999999999999996</v>
      </c>
    </row>
    <row r="35" spans="1:18">
      <c r="A35" s="81">
        <f t="shared" si="7"/>
        <v>28</v>
      </c>
      <c r="B35" s="76">
        <f t="shared" si="1"/>
        <v>260</v>
      </c>
      <c r="C35" s="82"/>
      <c r="D35" s="83">
        <f t="shared" si="8"/>
        <v>1820</v>
      </c>
      <c r="E35" s="76">
        <f t="shared" si="2"/>
        <v>134.92914842105262</v>
      </c>
      <c r="F35" s="76">
        <f t="shared" si="3"/>
        <v>0</v>
      </c>
      <c r="G35" s="76">
        <f t="shared" si="9"/>
        <v>0</v>
      </c>
      <c r="H35" s="76">
        <f t="shared" si="10"/>
        <v>0</v>
      </c>
      <c r="I35" s="76">
        <f t="shared" si="11"/>
        <v>1820</v>
      </c>
      <c r="J35" s="76">
        <f t="shared" si="4"/>
        <v>312</v>
      </c>
      <c r="K35" s="82"/>
      <c r="L35" s="83">
        <f t="shared" si="12"/>
        <v>2184</v>
      </c>
      <c r="M35" s="76">
        <f t="shared" si="5"/>
        <v>164.60318368421051</v>
      </c>
      <c r="N35" s="76">
        <f t="shared" si="6"/>
        <v>0</v>
      </c>
      <c r="O35" s="76">
        <f t="shared" si="13"/>
        <v>0</v>
      </c>
      <c r="P35" s="76">
        <f t="shared" si="14"/>
        <v>0</v>
      </c>
      <c r="Q35" s="76">
        <f t="shared" si="15"/>
        <v>2184</v>
      </c>
      <c r="R35" s="84">
        <f t="shared" si="16"/>
        <v>0.19999999999999996</v>
      </c>
    </row>
    <row r="36" spans="1:18">
      <c r="A36" s="81">
        <f t="shared" si="7"/>
        <v>29</v>
      </c>
      <c r="B36" s="76">
        <f t="shared" si="1"/>
        <v>260</v>
      </c>
      <c r="C36" s="82"/>
      <c r="D36" s="83">
        <f t="shared" si="8"/>
        <v>1820</v>
      </c>
      <c r="E36" s="76">
        <f t="shared" si="2"/>
        <v>134.92914842105262</v>
      </c>
      <c r="F36" s="76">
        <f t="shared" si="3"/>
        <v>0</v>
      </c>
      <c r="G36" s="76">
        <f t="shared" si="9"/>
        <v>0</v>
      </c>
      <c r="H36" s="76">
        <f t="shared" si="10"/>
        <v>0</v>
      </c>
      <c r="I36" s="76">
        <f t="shared" si="11"/>
        <v>1820</v>
      </c>
      <c r="J36" s="76">
        <f t="shared" si="4"/>
        <v>312</v>
      </c>
      <c r="K36" s="82"/>
      <c r="L36" s="83">
        <f t="shared" si="12"/>
        <v>2184</v>
      </c>
      <c r="M36" s="76">
        <f t="shared" si="5"/>
        <v>164.60318368421051</v>
      </c>
      <c r="N36" s="76">
        <f t="shared" si="6"/>
        <v>0</v>
      </c>
      <c r="O36" s="76">
        <f t="shared" si="13"/>
        <v>0</v>
      </c>
      <c r="P36" s="76">
        <f t="shared" si="14"/>
        <v>0</v>
      </c>
      <c r="Q36" s="76">
        <f t="shared" si="15"/>
        <v>2184</v>
      </c>
      <c r="R36" s="84">
        <f t="shared" si="16"/>
        <v>0.19999999999999996</v>
      </c>
    </row>
    <row r="37" spans="1:18">
      <c r="A37" s="81">
        <f t="shared" si="7"/>
        <v>30</v>
      </c>
      <c r="B37" s="76">
        <f t="shared" si="1"/>
        <v>260</v>
      </c>
      <c r="C37" s="82"/>
      <c r="D37" s="83">
        <f t="shared" si="8"/>
        <v>1820</v>
      </c>
      <c r="E37" s="76">
        <f t="shared" si="2"/>
        <v>134.92914842105262</v>
      </c>
      <c r="F37" s="76">
        <f t="shared" si="3"/>
        <v>0</v>
      </c>
      <c r="G37" s="76">
        <f t="shared" si="9"/>
        <v>0</v>
      </c>
      <c r="H37" s="76">
        <f t="shared" si="10"/>
        <v>0</v>
      </c>
      <c r="I37" s="76">
        <f t="shared" si="11"/>
        <v>1820</v>
      </c>
      <c r="J37" s="76">
        <f t="shared" si="4"/>
        <v>312</v>
      </c>
      <c r="K37" s="82"/>
      <c r="L37" s="83">
        <f t="shared" si="12"/>
        <v>2184</v>
      </c>
      <c r="M37" s="76">
        <f t="shared" si="5"/>
        <v>164.60318368421051</v>
      </c>
      <c r="N37" s="76">
        <f t="shared" si="6"/>
        <v>0</v>
      </c>
      <c r="O37" s="76">
        <f t="shared" si="13"/>
        <v>0</v>
      </c>
      <c r="P37" s="76">
        <f t="shared" si="14"/>
        <v>0</v>
      </c>
      <c r="Q37" s="76">
        <f t="shared" si="15"/>
        <v>2184</v>
      </c>
      <c r="R37" s="84">
        <f t="shared" si="16"/>
        <v>0.19999999999999996</v>
      </c>
    </row>
    <row r="38" spans="1:18">
      <c r="A38" s="81">
        <f t="shared" si="7"/>
        <v>31</v>
      </c>
      <c r="B38" s="76">
        <f t="shared" si="1"/>
        <v>260</v>
      </c>
      <c r="C38" s="82"/>
      <c r="D38" s="83">
        <f t="shared" si="8"/>
        <v>1820</v>
      </c>
      <c r="E38" s="76">
        <f t="shared" si="2"/>
        <v>134.92914842105262</v>
      </c>
      <c r="F38" s="76">
        <f t="shared" si="3"/>
        <v>0</v>
      </c>
      <c r="G38" s="76">
        <f t="shared" si="9"/>
        <v>0</v>
      </c>
      <c r="H38" s="76">
        <f t="shared" si="10"/>
        <v>0</v>
      </c>
      <c r="I38" s="76">
        <f t="shared" si="11"/>
        <v>1820</v>
      </c>
      <c r="J38" s="76">
        <f t="shared" si="4"/>
        <v>312</v>
      </c>
      <c r="K38" s="82"/>
      <c r="L38" s="83">
        <f t="shared" si="12"/>
        <v>2184</v>
      </c>
      <c r="M38" s="76">
        <f t="shared" si="5"/>
        <v>164.60318368421051</v>
      </c>
      <c r="N38" s="76">
        <f t="shared" si="6"/>
        <v>0</v>
      </c>
      <c r="O38" s="76">
        <f t="shared" si="13"/>
        <v>0</v>
      </c>
      <c r="P38" s="76">
        <f t="shared" si="14"/>
        <v>0</v>
      </c>
      <c r="Q38" s="76">
        <f t="shared" si="15"/>
        <v>2184</v>
      </c>
      <c r="R38" s="84">
        <f t="shared" si="16"/>
        <v>0.19999999999999996</v>
      </c>
    </row>
    <row r="39" spans="1:18">
      <c r="A39" s="81">
        <f t="shared" si="7"/>
        <v>32</v>
      </c>
      <c r="B39" s="76">
        <f t="shared" si="1"/>
        <v>260</v>
      </c>
      <c r="C39" s="82"/>
      <c r="D39" s="83">
        <f t="shared" si="8"/>
        <v>1820</v>
      </c>
      <c r="E39" s="76">
        <f t="shared" si="2"/>
        <v>134.92914842105262</v>
      </c>
      <c r="F39" s="76">
        <f t="shared" si="3"/>
        <v>0</v>
      </c>
      <c r="G39" s="76">
        <f t="shared" si="9"/>
        <v>0</v>
      </c>
      <c r="H39" s="76">
        <f t="shared" si="10"/>
        <v>0</v>
      </c>
      <c r="I39" s="76">
        <f t="shared" si="11"/>
        <v>1820</v>
      </c>
      <c r="J39" s="76">
        <f t="shared" si="4"/>
        <v>312</v>
      </c>
      <c r="K39" s="82"/>
      <c r="L39" s="83">
        <f t="shared" si="12"/>
        <v>2184</v>
      </c>
      <c r="M39" s="76">
        <f t="shared" si="5"/>
        <v>164.60318368421051</v>
      </c>
      <c r="N39" s="76">
        <f t="shared" si="6"/>
        <v>0</v>
      </c>
      <c r="O39" s="76">
        <f t="shared" si="13"/>
        <v>0</v>
      </c>
      <c r="P39" s="76">
        <f t="shared" si="14"/>
        <v>0</v>
      </c>
      <c r="Q39" s="76">
        <f t="shared" si="15"/>
        <v>2184</v>
      </c>
      <c r="R39" s="84">
        <f t="shared" si="16"/>
        <v>0.19999999999999996</v>
      </c>
    </row>
    <row r="40" spans="1:18">
      <c r="A40" s="81">
        <f t="shared" si="7"/>
        <v>33</v>
      </c>
      <c r="B40" s="76">
        <f t="shared" ref="B40:B60" si="17">IF(A40=0,0,$I$4)</f>
        <v>260</v>
      </c>
      <c r="C40" s="82"/>
      <c r="D40" s="83">
        <f t="shared" si="8"/>
        <v>1820</v>
      </c>
      <c r="E40" s="76">
        <f t="shared" ref="E40:E59" si="18">((D40-VLOOKUP(D40,Tabla2022,1))*VLOOKUP(D40,Tabla2022,3))+VLOOKUP(D40,Tabla2022,2)</f>
        <v>134.92914842105262</v>
      </c>
      <c r="F40" s="76">
        <f t="shared" ref="F40:F59" si="19">IF(D40=0,0,VLOOKUP(D40,Subsidio2022,2))</f>
        <v>0</v>
      </c>
      <c r="G40" s="76">
        <f t="shared" si="9"/>
        <v>0</v>
      </c>
      <c r="H40" s="76">
        <f t="shared" si="10"/>
        <v>0</v>
      </c>
      <c r="I40" s="76">
        <f t="shared" si="11"/>
        <v>1820</v>
      </c>
      <c r="J40" s="76">
        <f t="shared" ref="J40:J60" si="20">IF(A40=0,0,$J$4)</f>
        <v>312</v>
      </c>
      <c r="K40" s="82"/>
      <c r="L40" s="83">
        <f t="shared" si="12"/>
        <v>2184</v>
      </c>
      <c r="M40" s="76">
        <f t="shared" ref="M40:M60" si="21">((L40-VLOOKUP(L40,Tabla2023,1))*VLOOKUP(L40,Tabla2023,3))+VLOOKUP(L40,Tabla2023,2)</f>
        <v>164.60318368421051</v>
      </c>
      <c r="N40" s="76">
        <f t="shared" ref="N40:N59" si="22">IF(L40=0,0,VLOOKUP(L40,Subsidio2022,2))</f>
        <v>0</v>
      </c>
      <c r="O40" s="76">
        <f t="shared" si="13"/>
        <v>0</v>
      </c>
      <c r="P40" s="76">
        <f t="shared" si="14"/>
        <v>0</v>
      </c>
      <c r="Q40" s="76">
        <f t="shared" si="15"/>
        <v>2184</v>
      </c>
      <c r="R40" s="84">
        <f t="shared" si="16"/>
        <v>0.19999999999999996</v>
      </c>
    </row>
    <row r="41" spans="1:18">
      <c r="A41" s="81">
        <f t="shared" ref="A41:A60" si="23">IF(OR(A40=$E$2,A40=0),0,+A40+1)</f>
        <v>34</v>
      </c>
      <c r="B41" s="76">
        <f t="shared" si="17"/>
        <v>260</v>
      </c>
      <c r="C41" s="82"/>
      <c r="D41" s="83">
        <f t="shared" si="8"/>
        <v>1820</v>
      </c>
      <c r="E41" s="76">
        <f t="shared" si="18"/>
        <v>134.92914842105262</v>
      </c>
      <c r="F41" s="76">
        <f t="shared" si="19"/>
        <v>0</v>
      </c>
      <c r="G41" s="76">
        <f t="shared" si="9"/>
        <v>0</v>
      </c>
      <c r="H41" s="76">
        <f t="shared" si="10"/>
        <v>0</v>
      </c>
      <c r="I41" s="76">
        <f t="shared" si="11"/>
        <v>1820</v>
      </c>
      <c r="J41" s="76">
        <f t="shared" si="20"/>
        <v>312</v>
      </c>
      <c r="K41" s="82"/>
      <c r="L41" s="83">
        <f t="shared" si="12"/>
        <v>2184</v>
      </c>
      <c r="M41" s="76">
        <f t="shared" si="21"/>
        <v>164.60318368421051</v>
      </c>
      <c r="N41" s="76">
        <f t="shared" si="22"/>
        <v>0</v>
      </c>
      <c r="O41" s="76">
        <f t="shared" si="13"/>
        <v>0</v>
      </c>
      <c r="P41" s="76">
        <f t="shared" si="14"/>
        <v>0</v>
      </c>
      <c r="Q41" s="76">
        <f t="shared" si="15"/>
        <v>2184</v>
      </c>
      <c r="R41" s="84">
        <f t="shared" si="16"/>
        <v>0.19999999999999996</v>
      </c>
    </row>
    <row r="42" spans="1:18">
      <c r="A42" s="81">
        <f t="shared" si="23"/>
        <v>35</v>
      </c>
      <c r="B42" s="76">
        <f t="shared" si="17"/>
        <v>260</v>
      </c>
      <c r="C42" s="82"/>
      <c r="D42" s="83">
        <f t="shared" si="8"/>
        <v>1820</v>
      </c>
      <c r="E42" s="76">
        <f t="shared" si="18"/>
        <v>134.92914842105262</v>
      </c>
      <c r="F42" s="76">
        <f t="shared" si="19"/>
        <v>0</v>
      </c>
      <c r="G42" s="76">
        <f t="shared" si="9"/>
        <v>0</v>
      </c>
      <c r="H42" s="76">
        <f t="shared" si="10"/>
        <v>0</v>
      </c>
      <c r="I42" s="76">
        <f t="shared" si="11"/>
        <v>1820</v>
      </c>
      <c r="J42" s="76">
        <f t="shared" si="20"/>
        <v>312</v>
      </c>
      <c r="K42" s="82"/>
      <c r="L42" s="83">
        <f t="shared" si="12"/>
        <v>2184</v>
      </c>
      <c r="M42" s="76">
        <f t="shared" si="21"/>
        <v>164.60318368421051</v>
      </c>
      <c r="N42" s="76">
        <f t="shared" si="22"/>
        <v>0</v>
      </c>
      <c r="O42" s="76">
        <f t="shared" si="13"/>
        <v>0</v>
      </c>
      <c r="P42" s="76">
        <f t="shared" si="14"/>
        <v>0</v>
      </c>
      <c r="Q42" s="76">
        <f t="shared" si="15"/>
        <v>2184</v>
      </c>
      <c r="R42" s="84">
        <f t="shared" si="16"/>
        <v>0.19999999999999996</v>
      </c>
    </row>
    <row r="43" spans="1:18">
      <c r="A43" s="81">
        <f t="shared" si="23"/>
        <v>36</v>
      </c>
      <c r="B43" s="76">
        <f t="shared" si="17"/>
        <v>260</v>
      </c>
      <c r="C43" s="82"/>
      <c r="D43" s="83">
        <f t="shared" si="8"/>
        <v>1820</v>
      </c>
      <c r="E43" s="76">
        <f t="shared" si="18"/>
        <v>134.92914842105262</v>
      </c>
      <c r="F43" s="76">
        <f t="shared" si="19"/>
        <v>0</v>
      </c>
      <c r="G43" s="76">
        <f t="shared" si="9"/>
        <v>0</v>
      </c>
      <c r="H43" s="76">
        <f t="shared" si="10"/>
        <v>0</v>
      </c>
      <c r="I43" s="76">
        <f t="shared" si="11"/>
        <v>1820</v>
      </c>
      <c r="J43" s="76">
        <f t="shared" si="20"/>
        <v>312</v>
      </c>
      <c r="K43" s="82"/>
      <c r="L43" s="83">
        <f t="shared" si="12"/>
        <v>2184</v>
      </c>
      <c r="M43" s="76">
        <f t="shared" si="21"/>
        <v>164.60318368421051</v>
      </c>
      <c r="N43" s="76">
        <f t="shared" si="22"/>
        <v>0</v>
      </c>
      <c r="O43" s="76">
        <f t="shared" si="13"/>
        <v>0</v>
      </c>
      <c r="P43" s="76">
        <f t="shared" si="14"/>
        <v>0</v>
      </c>
      <c r="Q43" s="76">
        <f t="shared" si="15"/>
        <v>2184</v>
      </c>
      <c r="R43" s="84">
        <f t="shared" si="16"/>
        <v>0.19999999999999996</v>
      </c>
    </row>
    <row r="44" spans="1:18">
      <c r="A44" s="81">
        <f t="shared" si="23"/>
        <v>37</v>
      </c>
      <c r="B44" s="76">
        <f t="shared" si="17"/>
        <v>260</v>
      </c>
      <c r="C44" s="82"/>
      <c r="D44" s="83">
        <f t="shared" si="8"/>
        <v>1820</v>
      </c>
      <c r="E44" s="76">
        <f t="shared" si="18"/>
        <v>134.92914842105262</v>
      </c>
      <c r="F44" s="76">
        <f t="shared" si="19"/>
        <v>0</v>
      </c>
      <c r="G44" s="76">
        <f t="shared" si="9"/>
        <v>0</v>
      </c>
      <c r="H44" s="76">
        <f t="shared" si="10"/>
        <v>0</v>
      </c>
      <c r="I44" s="76">
        <f t="shared" si="11"/>
        <v>1820</v>
      </c>
      <c r="J44" s="76">
        <f t="shared" si="20"/>
        <v>312</v>
      </c>
      <c r="K44" s="82"/>
      <c r="L44" s="83">
        <f t="shared" si="12"/>
        <v>2184</v>
      </c>
      <c r="M44" s="76">
        <f t="shared" si="21"/>
        <v>164.60318368421051</v>
      </c>
      <c r="N44" s="76">
        <f t="shared" si="22"/>
        <v>0</v>
      </c>
      <c r="O44" s="76">
        <f t="shared" si="13"/>
        <v>0</v>
      </c>
      <c r="P44" s="76">
        <f t="shared" si="14"/>
        <v>0</v>
      </c>
      <c r="Q44" s="76">
        <f t="shared" si="15"/>
        <v>2184</v>
      </c>
      <c r="R44" s="84">
        <f t="shared" si="16"/>
        <v>0.19999999999999996</v>
      </c>
    </row>
    <row r="45" spans="1:18">
      <c r="A45" s="81">
        <f t="shared" si="23"/>
        <v>38</v>
      </c>
      <c r="B45" s="76">
        <f t="shared" si="17"/>
        <v>260</v>
      </c>
      <c r="C45" s="82"/>
      <c r="D45" s="83">
        <f t="shared" si="8"/>
        <v>1820</v>
      </c>
      <c r="E45" s="76">
        <f t="shared" si="18"/>
        <v>134.92914842105262</v>
      </c>
      <c r="F45" s="76">
        <f t="shared" si="19"/>
        <v>0</v>
      </c>
      <c r="G45" s="76">
        <f t="shared" si="9"/>
        <v>0</v>
      </c>
      <c r="H45" s="76">
        <f t="shared" si="10"/>
        <v>0</v>
      </c>
      <c r="I45" s="76">
        <f t="shared" si="11"/>
        <v>1820</v>
      </c>
      <c r="J45" s="76">
        <f t="shared" si="20"/>
        <v>312</v>
      </c>
      <c r="K45" s="82"/>
      <c r="L45" s="83">
        <f t="shared" si="12"/>
        <v>2184</v>
      </c>
      <c r="M45" s="76">
        <f t="shared" si="21"/>
        <v>164.60318368421051</v>
      </c>
      <c r="N45" s="76">
        <f t="shared" si="22"/>
        <v>0</v>
      </c>
      <c r="O45" s="76">
        <f t="shared" si="13"/>
        <v>0</v>
      </c>
      <c r="P45" s="76">
        <f t="shared" si="14"/>
        <v>0</v>
      </c>
      <c r="Q45" s="76">
        <f t="shared" si="15"/>
        <v>2184</v>
      </c>
      <c r="R45" s="84">
        <f t="shared" si="16"/>
        <v>0.19999999999999996</v>
      </c>
    </row>
    <row r="46" spans="1:18">
      <c r="A46" s="81">
        <f t="shared" si="23"/>
        <v>39</v>
      </c>
      <c r="B46" s="76">
        <f t="shared" si="17"/>
        <v>260</v>
      </c>
      <c r="C46" s="82"/>
      <c r="D46" s="83">
        <f t="shared" si="8"/>
        <v>1820</v>
      </c>
      <c r="E46" s="76">
        <f t="shared" si="18"/>
        <v>134.92914842105262</v>
      </c>
      <c r="F46" s="76">
        <f t="shared" si="19"/>
        <v>0</v>
      </c>
      <c r="G46" s="76">
        <f t="shared" si="9"/>
        <v>0</v>
      </c>
      <c r="H46" s="76">
        <f t="shared" si="10"/>
        <v>0</v>
      </c>
      <c r="I46" s="76">
        <f t="shared" si="11"/>
        <v>1820</v>
      </c>
      <c r="J46" s="76">
        <f t="shared" si="20"/>
        <v>312</v>
      </c>
      <c r="K46" s="82"/>
      <c r="L46" s="83">
        <f t="shared" si="12"/>
        <v>2184</v>
      </c>
      <c r="M46" s="76">
        <f t="shared" si="21"/>
        <v>164.60318368421051</v>
      </c>
      <c r="N46" s="76">
        <f t="shared" si="22"/>
        <v>0</v>
      </c>
      <c r="O46" s="76">
        <f t="shared" si="13"/>
        <v>0</v>
      </c>
      <c r="P46" s="76">
        <f t="shared" si="14"/>
        <v>0</v>
      </c>
      <c r="Q46" s="76">
        <f t="shared" si="15"/>
        <v>2184</v>
      </c>
      <c r="R46" s="84">
        <f t="shared" si="16"/>
        <v>0.19999999999999996</v>
      </c>
    </row>
    <row r="47" spans="1:18">
      <c r="A47" s="81">
        <f t="shared" si="23"/>
        <v>40</v>
      </c>
      <c r="B47" s="76">
        <f t="shared" si="17"/>
        <v>260</v>
      </c>
      <c r="C47" s="82"/>
      <c r="D47" s="83">
        <f t="shared" si="8"/>
        <v>1820</v>
      </c>
      <c r="E47" s="76">
        <f t="shared" si="18"/>
        <v>134.92914842105262</v>
      </c>
      <c r="F47" s="76">
        <f t="shared" si="19"/>
        <v>0</v>
      </c>
      <c r="G47" s="76">
        <f t="shared" si="9"/>
        <v>0</v>
      </c>
      <c r="H47" s="76">
        <f t="shared" si="10"/>
        <v>0</v>
      </c>
      <c r="I47" s="76">
        <f t="shared" si="11"/>
        <v>1820</v>
      </c>
      <c r="J47" s="76">
        <f t="shared" si="20"/>
        <v>312</v>
      </c>
      <c r="K47" s="82"/>
      <c r="L47" s="83">
        <f t="shared" si="12"/>
        <v>2184</v>
      </c>
      <c r="M47" s="76">
        <f t="shared" si="21"/>
        <v>164.60318368421051</v>
      </c>
      <c r="N47" s="76">
        <f t="shared" si="22"/>
        <v>0</v>
      </c>
      <c r="O47" s="76">
        <f t="shared" si="13"/>
        <v>0</v>
      </c>
      <c r="P47" s="76">
        <f t="shared" si="14"/>
        <v>0</v>
      </c>
      <c r="Q47" s="76">
        <f t="shared" si="15"/>
        <v>2184</v>
      </c>
      <c r="R47" s="84">
        <f t="shared" si="16"/>
        <v>0.19999999999999996</v>
      </c>
    </row>
    <row r="48" spans="1:18">
      <c r="A48" s="81">
        <f t="shared" si="23"/>
        <v>41</v>
      </c>
      <c r="B48" s="76">
        <f t="shared" si="17"/>
        <v>260</v>
      </c>
      <c r="C48" s="82"/>
      <c r="D48" s="83">
        <f t="shared" si="8"/>
        <v>1820</v>
      </c>
      <c r="E48" s="76">
        <f t="shared" si="18"/>
        <v>134.92914842105262</v>
      </c>
      <c r="F48" s="76">
        <f t="shared" si="19"/>
        <v>0</v>
      </c>
      <c r="G48" s="76">
        <f t="shared" si="9"/>
        <v>0</v>
      </c>
      <c r="H48" s="76">
        <f t="shared" si="10"/>
        <v>0</v>
      </c>
      <c r="I48" s="76">
        <f t="shared" si="11"/>
        <v>1820</v>
      </c>
      <c r="J48" s="76">
        <f t="shared" si="20"/>
        <v>312</v>
      </c>
      <c r="K48" s="82"/>
      <c r="L48" s="83">
        <f t="shared" si="12"/>
        <v>2184</v>
      </c>
      <c r="M48" s="76">
        <f t="shared" si="21"/>
        <v>164.60318368421051</v>
      </c>
      <c r="N48" s="76">
        <f t="shared" si="22"/>
        <v>0</v>
      </c>
      <c r="O48" s="76">
        <f t="shared" si="13"/>
        <v>0</v>
      </c>
      <c r="P48" s="76">
        <f t="shared" si="14"/>
        <v>0</v>
      </c>
      <c r="Q48" s="76">
        <f t="shared" si="15"/>
        <v>2184</v>
      </c>
      <c r="R48" s="84">
        <f t="shared" si="16"/>
        <v>0.19999999999999996</v>
      </c>
    </row>
    <row r="49" spans="1:18">
      <c r="A49" s="81">
        <f t="shared" si="23"/>
        <v>42</v>
      </c>
      <c r="B49" s="76">
        <f t="shared" si="17"/>
        <v>260</v>
      </c>
      <c r="C49" s="82"/>
      <c r="D49" s="83">
        <f t="shared" si="8"/>
        <v>1820</v>
      </c>
      <c r="E49" s="76">
        <f t="shared" si="18"/>
        <v>134.92914842105262</v>
      </c>
      <c r="F49" s="76">
        <f t="shared" si="19"/>
        <v>0</v>
      </c>
      <c r="G49" s="76">
        <f t="shared" si="9"/>
        <v>0</v>
      </c>
      <c r="H49" s="76">
        <f t="shared" si="10"/>
        <v>0</v>
      </c>
      <c r="I49" s="76">
        <f t="shared" si="11"/>
        <v>1820</v>
      </c>
      <c r="J49" s="76">
        <f t="shared" si="20"/>
        <v>312</v>
      </c>
      <c r="K49" s="82"/>
      <c r="L49" s="83">
        <f t="shared" si="12"/>
        <v>2184</v>
      </c>
      <c r="M49" s="76">
        <f t="shared" si="21"/>
        <v>164.60318368421051</v>
      </c>
      <c r="N49" s="76">
        <f t="shared" si="22"/>
        <v>0</v>
      </c>
      <c r="O49" s="76">
        <f t="shared" si="13"/>
        <v>0</v>
      </c>
      <c r="P49" s="76">
        <f t="shared" si="14"/>
        <v>0</v>
      </c>
      <c r="Q49" s="76">
        <f t="shared" si="15"/>
        <v>2184</v>
      </c>
      <c r="R49" s="84">
        <f t="shared" si="16"/>
        <v>0.19999999999999996</v>
      </c>
    </row>
    <row r="50" spans="1:18">
      <c r="A50" s="81">
        <f t="shared" si="23"/>
        <v>43</v>
      </c>
      <c r="B50" s="76">
        <f t="shared" si="17"/>
        <v>260</v>
      </c>
      <c r="C50" s="82"/>
      <c r="D50" s="83">
        <f t="shared" si="8"/>
        <v>1820</v>
      </c>
      <c r="E50" s="76">
        <f t="shared" si="18"/>
        <v>134.92914842105262</v>
      </c>
      <c r="F50" s="76">
        <f t="shared" si="19"/>
        <v>0</v>
      </c>
      <c r="G50" s="76">
        <f t="shared" si="9"/>
        <v>0</v>
      </c>
      <c r="H50" s="76">
        <f t="shared" si="10"/>
        <v>0</v>
      </c>
      <c r="I50" s="76">
        <f t="shared" si="11"/>
        <v>1820</v>
      </c>
      <c r="J50" s="76">
        <f t="shared" si="20"/>
        <v>312</v>
      </c>
      <c r="K50" s="82"/>
      <c r="L50" s="83">
        <f t="shared" si="12"/>
        <v>2184</v>
      </c>
      <c r="M50" s="76">
        <f t="shared" si="21"/>
        <v>164.60318368421051</v>
      </c>
      <c r="N50" s="76">
        <f t="shared" si="22"/>
        <v>0</v>
      </c>
      <c r="O50" s="76">
        <f t="shared" si="13"/>
        <v>0</v>
      </c>
      <c r="P50" s="76">
        <f t="shared" si="14"/>
        <v>0</v>
      </c>
      <c r="Q50" s="76">
        <f t="shared" si="15"/>
        <v>2184</v>
      </c>
      <c r="R50" s="84">
        <f t="shared" si="16"/>
        <v>0.19999999999999996</v>
      </c>
    </row>
    <row r="51" spans="1:18">
      <c r="A51" s="81">
        <f t="shared" si="23"/>
        <v>44</v>
      </c>
      <c r="B51" s="76">
        <f t="shared" si="17"/>
        <v>260</v>
      </c>
      <c r="C51" s="82"/>
      <c r="D51" s="83">
        <f t="shared" si="8"/>
        <v>1820</v>
      </c>
      <c r="E51" s="76">
        <f t="shared" si="18"/>
        <v>134.92914842105262</v>
      </c>
      <c r="F51" s="76">
        <f t="shared" si="19"/>
        <v>0</v>
      </c>
      <c r="G51" s="76">
        <f t="shared" si="9"/>
        <v>0</v>
      </c>
      <c r="H51" s="76">
        <f t="shared" si="10"/>
        <v>0</v>
      </c>
      <c r="I51" s="76">
        <f t="shared" si="11"/>
        <v>1820</v>
      </c>
      <c r="J51" s="76">
        <f t="shared" si="20"/>
        <v>312</v>
      </c>
      <c r="K51" s="82"/>
      <c r="L51" s="83">
        <f t="shared" si="12"/>
        <v>2184</v>
      </c>
      <c r="M51" s="76">
        <f t="shared" si="21"/>
        <v>164.60318368421051</v>
      </c>
      <c r="N51" s="76">
        <f t="shared" si="22"/>
        <v>0</v>
      </c>
      <c r="O51" s="76">
        <f t="shared" si="13"/>
        <v>0</v>
      </c>
      <c r="P51" s="76">
        <f t="shared" si="14"/>
        <v>0</v>
      </c>
      <c r="Q51" s="76">
        <f t="shared" si="15"/>
        <v>2184</v>
      </c>
      <c r="R51" s="84">
        <f t="shared" si="16"/>
        <v>0.19999999999999996</v>
      </c>
    </row>
    <row r="52" spans="1:18">
      <c r="A52" s="81">
        <f t="shared" si="23"/>
        <v>45</v>
      </c>
      <c r="B52" s="76">
        <f t="shared" si="17"/>
        <v>260</v>
      </c>
      <c r="C52" s="82"/>
      <c r="D52" s="83">
        <f t="shared" si="8"/>
        <v>1820</v>
      </c>
      <c r="E52" s="76">
        <f t="shared" si="18"/>
        <v>134.92914842105262</v>
      </c>
      <c r="F52" s="76">
        <f t="shared" si="19"/>
        <v>0</v>
      </c>
      <c r="G52" s="76">
        <f t="shared" si="9"/>
        <v>0</v>
      </c>
      <c r="H52" s="76">
        <f t="shared" si="10"/>
        <v>0</v>
      </c>
      <c r="I52" s="76">
        <f t="shared" si="11"/>
        <v>1820</v>
      </c>
      <c r="J52" s="76">
        <f t="shared" si="20"/>
        <v>312</v>
      </c>
      <c r="K52" s="82"/>
      <c r="L52" s="83">
        <f t="shared" si="12"/>
        <v>2184</v>
      </c>
      <c r="M52" s="76">
        <f t="shared" si="21"/>
        <v>164.60318368421051</v>
      </c>
      <c r="N52" s="76">
        <f t="shared" si="22"/>
        <v>0</v>
      </c>
      <c r="O52" s="76">
        <f t="shared" si="13"/>
        <v>0</v>
      </c>
      <c r="P52" s="76">
        <f t="shared" si="14"/>
        <v>0</v>
      </c>
      <c r="Q52" s="76">
        <f t="shared" si="15"/>
        <v>2184</v>
      </c>
      <c r="R52" s="84">
        <f t="shared" si="16"/>
        <v>0.19999999999999996</v>
      </c>
    </row>
    <row r="53" spans="1:18">
      <c r="A53" s="81">
        <f t="shared" si="23"/>
        <v>46</v>
      </c>
      <c r="B53" s="76">
        <f t="shared" si="17"/>
        <v>260</v>
      </c>
      <c r="C53" s="82"/>
      <c r="D53" s="83">
        <f t="shared" si="8"/>
        <v>1820</v>
      </c>
      <c r="E53" s="76">
        <f t="shared" si="18"/>
        <v>134.92914842105262</v>
      </c>
      <c r="F53" s="76">
        <f t="shared" si="19"/>
        <v>0</v>
      </c>
      <c r="G53" s="76">
        <f t="shared" si="9"/>
        <v>0</v>
      </c>
      <c r="H53" s="76">
        <f t="shared" si="10"/>
        <v>0</v>
      </c>
      <c r="I53" s="76">
        <f t="shared" si="11"/>
        <v>1820</v>
      </c>
      <c r="J53" s="76">
        <f t="shared" si="20"/>
        <v>312</v>
      </c>
      <c r="K53" s="82"/>
      <c r="L53" s="83">
        <f t="shared" si="12"/>
        <v>2184</v>
      </c>
      <c r="M53" s="76">
        <f t="shared" si="21"/>
        <v>164.60318368421051</v>
      </c>
      <c r="N53" s="76">
        <f t="shared" si="22"/>
        <v>0</v>
      </c>
      <c r="O53" s="76">
        <f t="shared" si="13"/>
        <v>0</v>
      </c>
      <c r="P53" s="76">
        <f t="shared" si="14"/>
        <v>0</v>
      </c>
      <c r="Q53" s="76">
        <f t="shared" si="15"/>
        <v>2184</v>
      </c>
      <c r="R53" s="84">
        <f t="shared" si="16"/>
        <v>0.19999999999999996</v>
      </c>
    </row>
    <row r="54" spans="1:18">
      <c r="A54" s="81">
        <f t="shared" si="23"/>
        <v>47</v>
      </c>
      <c r="B54" s="76">
        <f t="shared" si="17"/>
        <v>260</v>
      </c>
      <c r="C54" s="82"/>
      <c r="D54" s="83">
        <f t="shared" si="8"/>
        <v>1820</v>
      </c>
      <c r="E54" s="76">
        <f t="shared" si="18"/>
        <v>134.92914842105262</v>
      </c>
      <c r="F54" s="76">
        <f t="shared" si="19"/>
        <v>0</v>
      </c>
      <c r="G54" s="76">
        <f t="shared" si="9"/>
        <v>0</v>
      </c>
      <c r="H54" s="76">
        <f t="shared" si="10"/>
        <v>0</v>
      </c>
      <c r="I54" s="76">
        <f t="shared" si="11"/>
        <v>1820</v>
      </c>
      <c r="J54" s="76">
        <f t="shared" si="20"/>
        <v>312</v>
      </c>
      <c r="K54" s="82"/>
      <c r="L54" s="83">
        <f t="shared" si="12"/>
        <v>2184</v>
      </c>
      <c r="M54" s="76">
        <f t="shared" si="21"/>
        <v>164.60318368421051</v>
      </c>
      <c r="N54" s="76">
        <f t="shared" si="22"/>
        <v>0</v>
      </c>
      <c r="O54" s="76">
        <f t="shared" si="13"/>
        <v>0</v>
      </c>
      <c r="P54" s="76">
        <f t="shared" si="14"/>
        <v>0</v>
      </c>
      <c r="Q54" s="76">
        <f t="shared" si="15"/>
        <v>2184</v>
      </c>
      <c r="R54" s="84">
        <f t="shared" si="16"/>
        <v>0.19999999999999996</v>
      </c>
    </row>
    <row r="55" spans="1:18">
      <c r="A55" s="81">
        <f t="shared" si="23"/>
        <v>48</v>
      </c>
      <c r="B55" s="76">
        <f t="shared" si="17"/>
        <v>260</v>
      </c>
      <c r="C55" s="82"/>
      <c r="D55" s="83">
        <f t="shared" si="8"/>
        <v>1820</v>
      </c>
      <c r="E55" s="76">
        <f t="shared" si="18"/>
        <v>134.92914842105262</v>
      </c>
      <c r="F55" s="76">
        <f t="shared" si="19"/>
        <v>0</v>
      </c>
      <c r="G55" s="76">
        <f t="shared" si="9"/>
        <v>0</v>
      </c>
      <c r="H55" s="76">
        <f t="shared" si="10"/>
        <v>0</v>
      </c>
      <c r="I55" s="76">
        <f t="shared" si="11"/>
        <v>1820</v>
      </c>
      <c r="J55" s="76">
        <f t="shared" si="20"/>
        <v>312</v>
      </c>
      <c r="K55" s="82"/>
      <c r="L55" s="83">
        <f t="shared" si="12"/>
        <v>2184</v>
      </c>
      <c r="M55" s="76">
        <f t="shared" si="21"/>
        <v>164.60318368421051</v>
      </c>
      <c r="N55" s="76">
        <f t="shared" si="22"/>
        <v>0</v>
      </c>
      <c r="O55" s="76">
        <f t="shared" si="13"/>
        <v>0</v>
      </c>
      <c r="P55" s="76">
        <f t="shared" si="14"/>
        <v>0</v>
      </c>
      <c r="Q55" s="76">
        <f t="shared" si="15"/>
        <v>2184</v>
      </c>
      <c r="R55" s="84">
        <f t="shared" si="16"/>
        <v>0.19999999999999996</v>
      </c>
    </row>
    <row r="56" spans="1:18">
      <c r="A56" s="81">
        <f t="shared" si="23"/>
        <v>49</v>
      </c>
      <c r="B56" s="76">
        <f t="shared" si="17"/>
        <v>260</v>
      </c>
      <c r="C56" s="82"/>
      <c r="D56" s="83">
        <f t="shared" si="8"/>
        <v>1820</v>
      </c>
      <c r="E56" s="76">
        <f t="shared" si="18"/>
        <v>134.92914842105262</v>
      </c>
      <c r="F56" s="76">
        <f t="shared" si="19"/>
        <v>0</v>
      </c>
      <c r="G56" s="76">
        <f t="shared" si="9"/>
        <v>0</v>
      </c>
      <c r="H56" s="76">
        <f t="shared" si="10"/>
        <v>0</v>
      </c>
      <c r="I56" s="76">
        <f t="shared" si="11"/>
        <v>1820</v>
      </c>
      <c r="J56" s="76">
        <f t="shared" si="20"/>
        <v>312</v>
      </c>
      <c r="K56" s="82"/>
      <c r="L56" s="83">
        <f t="shared" si="12"/>
        <v>2184</v>
      </c>
      <c r="M56" s="76">
        <f t="shared" si="21"/>
        <v>164.60318368421051</v>
      </c>
      <c r="N56" s="76">
        <f t="shared" si="22"/>
        <v>0</v>
      </c>
      <c r="O56" s="76">
        <f t="shared" si="13"/>
        <v>0</v>
      </c>
      <c r="P56" s="76">
        <f t="shared" si="14"/>
        <v>0</v>
      </c>
      <c r="Q56" s="76">
        <f t="shared" si="15"/>
        <v>2184</v>
      </c>
      <c r="R56" s="84">
        <f t="shared" si="16"/>
        <v>0.19999999999999996</v>
      </c>
    </row>
    <row r="57" spans="1:18">
      <c r="A57" s="81">
        <f t="shared" si="23"/>
        <v>50</v>
      </c>
      <c r="B57" s="76">
        <f t="shared" si="17"/>
        <v>260</v>
      </c>
      <c r="C57" s="82"/>
      <c r="D57" s="83">
        <f t="shared" si="8"/>
        <v>1820</v>
      </c>
      <c r="E57" s="76">
        <f t="shared" si="18"/>
        <v>134.92914842105262</v>
      </c>
      <c r="F57" s="76">
        <f t="shared" si="19"/>
        <v>0</v>
      </c>
      <c r="G57" s="76">
        <f t="shared" si="9"/>
        <v>0</v>
      </c>
      <c r="H57" s="76">
        <f t="shared" si="10"/>
        <v>0</v>
      </c>
      <c r="I57" s="76">
        <f t="shared" si="11"/>
        <v>1820</v>
      </c>
      <c r="J57" s="76">
        <f t="shared" si="20"/>
        <v>312</v>
      </c>
      <c r="K57" s="82"/>
      <c r="L57" s="83">
        <f t="shared" si="12"/>
        <v>2184</v>
      </c>
      <c r="M57" s="76">
        <f t="shared" si="21"/>
        <v>164.60318368421051</v>
      </c>
      <c r="N57" s="76">
        <f t="shared" si="22"/>
        <v>0</v>
      </c>
      <c r="O57" s="76">
        <f t="shared" si="13"/>
        <v>0</v>
      </c>
      <c r="P57" s="76">
        <f t="shared" si="14"/>
        <v>0</v>
      </c>
      <c r="Q57" s="76">
        <f t="shared" si="15"/>
        <v>2184</v>
      </c>
      <c r="R57" s="84">
        <f t="shared" si="16"/>
        <v>0.19999999999999996</v>
      </c>
    </row>
    <row r="58" spans="1:18">
      <c r="A58" s="81">
        <f t="shared" si="23"/>
        <v>51</v>
      </c>
      <c r="B58" s="76">
        <f t="shared" si="17"/>
        <v>260</v>
      </c>
      <c r="C58" s="82"/>
      <c r="D58" s="83">
        <f t="shared" si="8"/>
        <v>1820</v>
      </c>
      <c r="E58" s="76">
        <f t="shared" si="18"/>
        <v>134.92914842105262</v>
      </c>
      <c r="F58" s="76">
        <f t="shared" si="19"/>
        <v>0</v>
      </c>
      <c r="G58" s="76">
        <f t="shared" si="9"/>
        <v>0</v>
      </c>
      <c r="H58" s="76">
        <f t="shared" si="10"/>
        <v>0</v>
      </c>
      <c r="I58" s="76">
        <f t="shared" si="11"/>
        <v>1820</v>
      </c>
      <c r="J58" s="76">
        <f t="shared" si="20"/>
        <v>312</v>
      </c>
      <c r="K58" s="82"/>
      <c r="L58" s="83">
        <f t="shared" si="12"/>
        <v>2184</v>
      </c>
      <c r="M58" s="76">
        <f t="shared" si="21"/>
        <v>164.60318368421051</v>
      </c>
      <c r="N58" s="76">
        <f t="shared" si="22"/>
        <v>0</v>
      </c>
      <c r="O58" s="76">
        <f t="shared" si="13"/>
        <v>0</v>
      </c>
      <c r="P58" s="76">
        <f t="shared" si="14"/>
        <v>0</v>
      </c>
      <c r="Q58" s="76">
        <f t="shared" si="15"/>
        <v>2184</v>
      </c>
      <c r="R58" s="84">
        <f t="shared" si="16"/>
        <v>0.19999999999999996</v>
      </c>
    </row>
    <row r="59" spans="1:18">
      <c r="A59" s="81">
        <f t="shared" si="23"/>
        <v>52</v>
      </c>
      <c r="B59" s="76">
        <f t="shared" si="17"/>
        <v>260</v>
      </c>
      <c r="C59" s="82"/>
      <c r="D59" s="83">
        <f t="shared" si="8"/>
        <v>1820</v>
      </c>
      <c r="E59" s="76">
        <f t="shared" si="18"/>
        <v>134.92914842105262</v>
      </c>
      <c r="F59" s="76">
        <f t="shared" si="19"/>
        <v>0</v>
      </c>
      <c r="G59" s="76">
        <f t="shared" si="9"/>
        <v>0</v>
      </c>
      <c r="H59" s="76">
        <f t="shared" si="10"/>
        <v>0</v>
      </c>
      <c r="I59" s="76">
        <f t="shared" si="11"/>
        <v>1820</v>
      </c>
      <c r="J59" s="76">
        <f t="shared" si="20"/>
        <v>312</v>
      </c>
      <c r="K59" s="82"/>
      <c r="L59" s="83">
        <f t="shared" si="12"/>
        <v>2184</v>
      </c>
      <c r="M59" s="76">
        <f t="shared" si="21"/>
        <v>164.60318368421051</v>
      </c>
      <c r="N59" s="76">
        <f t="shared" si="22"/>
        <v>0</v>
      </c>
      <c r="O59" s="76">
        <f t="shared" si="13"/>
        <v>0</v>
      </c>
      <c r="P59" s="76">
        <f t="shared" si="14"/>
        <v>0</v>
      </c>
      <c r="Q59" s="76">
        <f t="shared" si="15"/>
        <v>2184</v>
      </c>
      <c r="R59" s="84">
        <f t="shared" si="16"/>
        <v>0.19999999999999996</v>
      </c>
    </row>
    <row r="60" spans="1:18">
      <c r="A60" s="81">
        <f t="shared" si="23"/>
        <v>0</v>
      </c>
      <c r="B60" s="76">
        <f t="shared" si="17"/>
        <v>0</v>
      </c>
      <c r="C60" s="82"/>
      <c r="D60" s="83">
        <f t="shared" si="8"/>
        <v>0</v>
      </c>
      <c r="E60" s="76">
        <f t="shared" ref="E60" si="24">((D60-VLOOKUP(D60,Tabla2022,1))*VLOOKUP(D60,Tabla2022,3))+VLOOKUP(D60,Tabla2022,2)</f>
        <v>0</v>
      </c>
      <c r="F60" s="76">
        <f t="shared" ref="F60" si="25">IF(D60=0,0,VLOOKUP(D60,Subsidio2022,2))</f>
        <v>0</v>
      </c>
      <c r="G60" s="76">
        <f t="shared" si="9"/>
        <v>0</v>
      </c>
      <c r="H60" s="76">
        <f t="shared" ref="H60" si="26">MIN(0,E60-F60)*-1</f>
        <v>0</v>
      </c>
      <c r="I60" s="76">
        <f t="shared" ref="I60" si="27">+D60-G60+H60</f>
        <v>0</v>
      </c>
      <c r="J60" s="76">
        <f t="shared" si="20"/>
        <v>0</v>
      </c>
      <c r="K60" s="82"/>
      <c r="L60" s="83">
        <f t="shared" ref="L60" si="28">+J60*$C$2+K60</f>
        <v>0</v>
      </c>
      <c r="M60" s="76">
        <f t="shared" si="21"/>
        <v>0</v>
      </c>
      <c r="N60" s="76">
        <f t="shared" ref="N60" si="29">IF(L60=0,0,VLOOKUP(L60,Subsidio2022,2))</f>
        <v>0</v>
      </c>
      <c r="O60" s="76">
        <f t="shared" si="13"/>
        <v>0</v>
      </c>
      <c r="P60" s="76">
        <f t="shared" ref="P60" si="30">MIN(0,M60-N60)*-1</f>
        <v>0</v>
      </c>
      <c r="Q60" s="76">
        <f t="shared" ref="Q60" si="31">+L60-O60+P60</f>
        <v>0</v>
      </c>
      <c r="R60" s="84">
        <f t="shared" ref="R60" si="32">IF(I60=0,0,+Q60/I60-1)</f>
        <v>0</v>
      </c>
    </row>
    <row r="61" spans="1:18">
      <c r="A61" s="3"/>
      <c r="B61" s="3"/>
      <c r="C61" s="3"/>
      <c r="D61" s="3"/>
      <c r="E61" s="3"/>
      <c r="F61" s="3"/>
      <c r="G61" s="3"/>
      <c r="H61" s="3"/>
    </row>
    <row r="62" spans="1:18">
      <c r="A62" s="3"/>
      <c r="B62" s="3"/>
      <c r="C62" s="3"/>
      <c r="D62" s="3"/>
      <c r="E62" s="3"/>
      <c r="F62" s="3"/>
      <c r="G62" s="3"/>
      <c r="H62" s="3"/>
    </row>
    <row r="63" spans="1:18">
      <c r="A63" s="3"/>
      <c r="B63" s="3"/>
      <c r="C63" s="3"/>
      <c r="D63" s="3"/>
      <c r="E63" s="3"/>
      <c r="F63" s="3"/>
      <c r="G63" s="3"/>
      <c r="H63" s="3"/>
    </row>
    <row r="64" spans="1:18">
      <c r="A64" s="3"/>
      <c r="B64" s="3"/>
      <c r="C64" s="3"/>
      <c r="D64" s="3"/>
      <c r="E64" s="3"/>
      <c r="F64" s="3"/>
      <c r="G64" s="3"/>
      <c r="H64" s="3"/>
    </row>
    <row r="65" spans="1:8">
      <c r="A65" s="3"/>
      <c r="B65" s="3"/>
      <c r="C65" s="3"/>
      <c r="D65" s="3"/>
      <c r="E65" s="3"/>
      <c r="F65" s="3"/>
      <c r="G65" s="3"/>
      <c r="H65" s="3"/>
    </row>
    <row r="66" spans="1:8">
      <c r="A66" s="3"/>
      <c r="B66" s="3"/>
      <c r="C66" s="3"/>
      <c r="D66" s="3"/>
      <c r="E66" s="3"/>
      <c r="F66" s="3"/>
      <c r="G66" s="3"/>
      <c r="H66" s="3"/>
    </row>
    <row r="67" spans="1:8">
      <c r="A67" s="3"/>
      <c r="B67" s="3"/>
      <c r="C67" s="3"/>
      <c r="D67" s="3"/>
      <c r="E67" s="3"/>
      <c r="F67" s="3"/>
      <c r="G67" s="3"/>
      <c r="H67" s="3"/>
    </row>
  </sheetData>
  <sheetProtection algorithmName="SHA-512" hashValue="u4NwcqSJ7RrL6gYgn7QJhXYwzYZMsl6H5MFLjR65Y1shhMDPF3TujWGQQyKwGFrhg/eiwDs7CTIbAvC79xHeWg==" saltValue="yzJJAwxXZHoD14GrGevWNg==" spinCount="100000" sheet="1" objects="1" scenarios="1"/>
  <mergeCells count="2">
    <mergeCell ref="I1:J1"/>
    <mergeCell ref="K1:L1"/>
  </mergeCells>
  <conditionalFormatting sqref="C8:C60">
    <cfRule type="expression" dxfId="1" priority="3" stopIfTrue="1">
      <formula>$A8&lt;&gt;0</formula>
    </cfRule>
  </conditionalFormatting>
  <conditionalFormatting sqref="K8:K60">
    <cfRule type="expression" dxfId="0" priority="1" stopIfTrue="1">
      <formula>$A8&lt;&gt;0</formula>
    </cfRule>
  </conditionalFormatting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53" orientation="landscape" r:id="rId1"/>
  <headerFooter alignWithMargins="0"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DF3FC-A946-4497-9C2D-7413B8ABBE11}">
  <dimension ref="A1:F19"/>
  <sheetViews>
    <sheetView showGridLines="0" topLeftCell="A2" zoomScale="140" zoomScaleNormal="140" workbookViewId="0">
      <selection activeCell="D13" sqref="D13"/>
    </sheetView>
  </sheetViews>
  <sheetFormatPr baseColWidth="10" defaultRowHeight="16"/>
  <cols>
    <col min="1" max="1" width="26.7109375" customWidth="1"/>
    <col min="2" max="3" width="11.7109375" customWidth="1"/>
    <col min="6" max="6" width="27.28515625" bestFit="1" customWidth="1"/>
  </cols>
  <sheetData>
    <row r="1" spans="1:6" ht="42" customHeight="1">
      <c r="A1" s="111" t="s">
        <v>74</v>
      </c>
      <c r="B1" s="111"/>
      <c r="C1" s="111"/>
    </row>
    <row r="2" spans="1:6">
      <c r="A2" s="5" t="s">
        <v>23</v>
      </c>
      <c r="B2" s="2" t="s">
        <v>72</v>
      </c>
      <c r="C2" s="6" t="s">
        <v>73</v>
      </c>
    </row>
    <row r="3" spans="1:6">
      <c r="A3" s="4" t="s">
        <v>31</v>
      </c>
      <c r="B3" s="14">
        <f>+'Cálculo de Periodos'!D6</f>
        <v>94740</v>
      </c>
      <c r="C3" s="15">
        <f>+'Cálculo de Periodos'!L6</f>
        <v>113568</v>
      </c>
    </row>
    <row r="4" spans="1:6">
      <c r="A4" s="4" t="s">
        <v>30</v>
      </c>
      <c r="B4" s="87"/>
      <c r="C4" s="88"/>
    </row>
    <row r="5" spans="1:6">
      <c r="A5" s="4" t="s">
        <v>29</v>
      </c>
      <c r="B5" s="87"/>
      <c r="C5" s="88"/>
    </row>
    <row r="6" spans="1:6">
      <c r="A6" s="4" t="s">
        <v>28</v>
      </c>
      <c r="B6" s="87"/>
      <c r="C6" s="88"/>
    </row>
    <row r="7" spans="1:6">
      <c r="A7" s="4" t="s">
        <v>27</v>
      </c>
      <c r="B7" s="14">
        <f>SUM(B3:B6)</f>
        <v>94740</v>
      </c>
      <c r="C7" s="15">
        <f>SUM(C3:C6)</f>
        <v>113568</v>
      </c>
    </row>
    <row r="8" spans="1:6">
      <c r="A8" s="4" t="s">
        <v>26</v>
      </c>
      <c r="B8" s="14">
        <f>(B7-VLOOKUP(B7,Anual2022,1))*VLOOKUP(B7,Anual2022,3)+VLOOKUP(B7,Anual2022,2)</f>
        <v>7020.0173996507501</v>
      </c>
      <c r="C8" s="15">
        <f>(C7-VLOOKUP(C7,Anual2023,1))*VLOOKUP(C7,Anual2023,3)+VLOOKUP(C7,Anual2023,2)</f>
        <v>8551.0182720000012</v>
      </c>
    </row>
    <row r="9" spans="1:6">
      <c r="A9" s="4" t="s">
        <v>25</v>
      </c>
      <c r="B9" s="14">
        <f>+'Cálculo de Periodos'!F6</f>
        <v>0</v>
      </c>
      <c r="C9" s="15">
        <f>+'Cálculo de Periodos'!N6</f>
        <v>0</v>
      </c>
    </row>
    <row r="10" spans="1:6">
      <c r="A10" s="4" t="s">
        <v>75</v>
      </c>
      <c r="B10" s="14">
        <f>MAX(0,+B8-B9)</f>
        <v>7020.0173996507501</v>
      </c>
      <c r="C10" s="15">
        <f>MAX(0,+C8-C9)</f>
        <v>8551.0182720000012</v>
      </c>
    </row>
    <row r="11" spans="1:6">
      <c r="A11" s="4" t="s">
        <v>76</v>
      </c>
      <c r="B11" s="14">
        <f>+'Cálculo de Periodos'!G6</f>
        <v>145.80914842105261</v>
      </c>
      <c r="C11" s="15">
        <f>+'Cálculo de Periodos'!O6</f>
        <v>0</v>
      </c>
    </row>
    <row r="12" spans="1:6">
      <c r="A12" s="4" t="s">
        <v>24</v>
      </c>
      <c r="B12" s="14">
        <f>IF(B11=0,0,MAX(0,B10-B11))</f>
        <v>6874.2082512296975</v>
      </c>
      <c r="C12" s="15">
        <f>IF(C11=0,0,MAX(0,C10-C11))</f>
        <v>0</v>
      </c>
    </row>
    <row r="13" spans="1:6">
      <c r="A13" s="4" t="s">
        <v>32</v>
      </c>
      <c r="B13" s="14">
        <f>MAX(0,B11-B10)</f>
        <v>0</v>
      </c>
      <c r="C13" s="15">
        <f>MAX(0,C11-C10)</f>
        <v>0</v>
      </c>
    </row>
    <row r="15" spans="1:6">
      <c r="A15" s="4"/>
      <c r="B15">
        <v>1000</v>
      </c>
    </row>
    <row r="16" spans="1:6">
      <c r="A16" s="99" t="s">
        <v>77</v>
      </c>
      <c r="B16" s="100">
        <f>+B15*B12</f>
        <v>6874208.2512296978</v>
      </c>
      <c r="C16" s="100"/>
      <c r="D16" s="100"/>
      <c r="E16" s="100"/>
      <c r="F16" s="100"/>
    </row>
    <row r="17" spans="1:6">
      <c r="A17" s="101" t="s">
        <v>78</v>
      </c>
      <c r="B17" s="101" t="s">
        <v>79</v>
      </c>
      <c r="C17" s="100"/>
      <c r="D17" s="100"/>
      <c r="E17" s="100"/>
      <c r="F17" s="100"/>
    </row>
    <row r="18" spans="1:6">
      <c r="A18" s="101" t="s">
        <v>80</v>
      </c>
      <c r="B18" s="101" t="s">
        <v>79</v>
      </c>
      <c r="C18" s="100"/>
      <c r="D18" s="100"/>
      <c r="E18" s="100"/>
      <c r="F18" s="100"/>
    </row>
    <row r="19" spans="1:6">
      <c r="A19" s="101" t="s">
        <v>81</v>
      </c>
      <c r="B19" s="101" t="s">
        <v>82</v>
      </c>
      <c r="C19" s="100"/>
      <c r="D19" s="100"/>
      <c r="E19" s="100"/>
      <c r="F19" s="100"/>
    </row>
  </sheetData>
  <sheetProtection algorithmName="SHA-512" hashValue="7acMSRTy0Pz8OQGvni0WK0bJErHJDjVUGAfCed2JA/RVDrkaol268KkUn0Wlx1pyZv7AzOv/tk2nYHRnXgiQPw==" saltValue="W/dKTXyu5W1bq7g46mS7aA==" spinCount="100000" sheet="1" objects="1" scenarios="1"/>
  <mergeCells count="1">
    <mergeCell ref="A1:C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096D-C4C9-4568-A44D-1EAB26348803}">
  <dimension ref="A2:H10"/>
  <sheetViews>
    <sheetView zoomScale="130" zoomScaleNormal="130" workbookViewId="0">
      <selection activeCell="H10" sqref="H10"/>
    </sheetView>
  </sheetViews>
  <sheetFormatPr baseColWidth="10" defaultColWidth="11.140625" defaultRowHeight="16"/>
  <cols>
    <col min="1" max="1" width="21.7109375" style="102" customWidth="1"/>
    <col min="2" max="7" width="11.140625" style="102"/>
    <col min="8" max="8" width="11.140625" style="104"/>
    <col min="9" max="16384" width="11.140625" style="102"/>
  </cols>
  <sheetData>
    <row r="2" spans="1:8">
      <c r="A2" s="102" t="s">
        <v>105</v>
      </c>
      <c r="C2" s="102">
        <v>260</v>
      </c>
    </row>
    <row r="3" spans="1:8">
      <c r="A3" s="102" t="s">
        <v>104</v>
      </c>
      <c r="C3" s="102">
        <v>103.74</v>
      </c>
    </row>
    <row r="8" spans="1:8" ht="34">
      <c r="B8" s="105" t="s">
        <v>36</v>
      </c>
      <c r="C8" s="105" t="s">
        <v>15</v>
      </c>
      <c r="D8" s="105" t="s">
        <v>36</v>
      </c>
      <c r="E8" s="105" t="s">
        <v>105</v>
      </c>
      <c r="F8" s="105" t="s">
        <v>106</v>
      </c>
      <c r="G8" s="105" t="s">
        <v>107</v>
      </c>
      <c r="H8" s="106" t="s">
        <v>108</v>
      </c>
    </row>
    <row r="9" spans="1:8">
      <c r="A9" s="102" t="s">
        <v>29</v>
      </c>
      <c r="B9" s="102">
        <v>12</v>
      </c>
      <c r="C9" s="102">
        <v>0.25</v>
      </c>
      <c r="D9" s="103">
        <f>+B9*C9</f>
        <v>3</v>
      </c>
      <c r="E9" s="102">
        <f>+C2</f>
        <v>260</v>
      </c>
      <c r="F9" s="104">
        <f>+E9*D9</f>
        <v>780</v>
      </c>
      <c r="G9" s="102">
        <f>+C3*15</f>
        <v>1556.1</v>
      </c>
      <c r="H9" s="104">
        <f>+F9-G9</f>
        <v>-776.09999999999991</v>
      </c>
    </row>
    <row r="10" spans="1:8">
      <c r="A10" s="102" t="s">
        <v>30</v>
      </c>
      <c r="B10" s="102">
        <v>15</v>
      </c>
      <c r="D10" s="103">
        <f>+B10</f>
        <v>15</v>
      </c>
      <c r="E10" s="102">
        <f>+C2</f>
        <v>260</v>
      </c>
      <c r="F10" s="104">
        <f>+E10*D10</f>
        <v>3900</v>
      </c>
      <c r="G10" s="102">
        <f>+C3*30</f>
        <v>3112.2</v>
      </c>
      <c r="H10" s="104">
        <f>+F10-G10</f>
        <v>787.80000000000018</v>
      </c>
    </row>
  </sheetData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L66"/>
  <sheetViews>
    <sheetView showGridLines="0" zoomScaleNormal="100" workbookViewId="0">
      <selection activeCell="G15" sqref="G15"/>
    </sheetView>
  </sheetViews>
  <sheetFormatPr baseColWidth="10" defaultColWidth="12.7109375" defaultRowHeight="13"/>
  <cols>
    <col min="1" max="1" width="9.85546875" style="3" customWidth="1"/>
    <col min="2" max="2" width="14.140625" style="3" customWidth="1"/>
    <col min="3" max="3" width="10.28515625" style="3" customWidth="1"/>
    <col min="4" max="4" width="15.28515625" style="3" customWidth="1"/>
    <col min="5" max="5" width="5.85546875" style="3" customWidth="1"/>
    <col min="6" max="7" width="11.7109375" style="3" customWidth="1"/>
    <col min="8" max="8" width="14.140625" style="3" customWidth="1"/>
    <col min="9" max="10" width="12.7109375" style="3"/>
    <col min="11" max="11" width="12.7109375" style="47"/>
    <col min="12" max="16384" width="12.7109375" style="3"/>
  </cols>
  <sheetData>
    <row r="1" spans="1:11">
      <c r="E1" s="27"/>
      <c r="F1" s="28"/>
      <c r="G1" s="28"/>
      <c r="H1" s="28"/>
    </row>
    <row r="2" spans="1:11">
      <c r="E2" s="27"/>
      <c r="F2" s="28"/>
      <c r="G2" s="28"/>
      <c r="H2" s="28"/>
    </row>
    <row r="3" spans="1:11">
      <c r="E3" s="27"/>
      <c r="F3" s="28"/>
      <c r="G3" s="28"/>
      <c r="H3" s="28"/>
    </row>
    <row r="4" spans="1:11">
      <c r="E4" s="27"/>
      <c r="F4" s="28"/>
      <c r="G4" s="28"/>
      <c r="H4" s="28"/>
    </row>
    <row r="5" spans="1:11">
      <c r="E5" s="27"/>
      <c r="F5" s="28"/>
      <c r="G5" s="28"/>
      <c r="H5" s="28"/>
    </row>
    <row r="6" spans="1:11" ht="14" thickBot="1">
      <c r="E6" s="27"/>
      <c r="F6" s="16"/>
      <c r="G6" s="16"/>
      <c r="H6" s="16"/>
    </row>
    <row r="7" spans="1:11" ht="14" thickBot="1">
      <c r="E7" s="27"/>
      <c r="F7" s="17" t="s">
        <v>36</v>
      </c>
      <c r="G7" s="39">
        <f>'Cálculo de Periodos'!C2</f>
        <v>7</v>
      </c>
      <c r="H7" s="40">
        <f>(B14/30.4)*G7</f>
        <v>2573.5661184210526</v>
      </c>
    </row>
    <row r="8" spans="1:11">
      <c r="A8" s="29" t="s">
        <v>53</v>
      </c>
      <c r="E8" s="27"/>
      <c r="F8" s="18" t="s">
        <v>51</v>
      </c>
      <c r="G8" s="17"/>
      <c r="H8" s="17">
        <f>H7/B14</f>
        <v>0.23026315789473686</v>
      </c>
    </row>
    <row r="9" spans="1:11" ht="28">
      <c r="A9" s="22" t="s">
        <v>20</v>
      </c>
      <c r="B9" s="22" t="s">
        <v>3</v>
      </c>
      <c r="C9" s="22" t="s">
        <v>16</v>
      </c>
      <c r="D9" s="22" t="s">
        <v>19</v>
      </c>
      <c r="E9" s="27"/>
      <c r="F9" s="19" t="s">
        <v>1</v>
      </c>
      <c r="G9" s="19" t="s">
        <v>2</v>
      </c>
      <c r="H9" s="19" t="s">
        <v>0</v>
      </c>
    </row>
    <row r="10" spans="1:11">
      <c r="A10" s="3">
        <v>1</v>
      </c>
      <c r="B10" s="3">
        <v>0</v>
      </c>
      <c r="C10" s="3">
        <v>0</v>
      </c>
      <c r="D10" s="30">
        <v>1.9199999999999998E-2</v>
      </c>
      <c r="E10" s="31">
        <v>1</v>
      </c>
      <c r="F10" s="17">
        <v>0</v>
      </c>
      <c r="G10" s="17">
        <f t="shared" ref="G10:G20" si="0">C10*$H$8</f>
        <v>0</v>
      </c>
      <c r="H10" s="20">
        <f t="shared" ref="H10:H20" si="1">D10</f>
        <v>1.9199999999999998E-2</v>
      </c>
    </row>
    <row r="11" spans="1:11">
      <c r="A11" s="3">
        <v>2</v>
      </c>
      <c r="B11" s="3">
        <v>644.59</v>
      </c>
      <c r="C11" s="3">
        <v>12.38</v>
      </c>
      <c r="D11" s="30">
        <v>6.4000000000000001E-2</v>
      </c>
      <c r="E11" s="31">
        <f>E10+1</f>
        <v>2</v>
      </c>
      <c r="F11" s="17">
        <f t="shared" ref="F11:F20" si="2">B11*$H$8</f>
        <v>148.42532894736846</v>
      </c>
      <c r="G11" s="17">
        <f t="shared" si="0"/>
        <v>2.8506578947368424</v>
      </c>
      <c r="H11" s="20">
        <f t="shared" si="1"/>
        <v>6.4000000000000001E-2</v>
      </c>
    </row>
    <row r="12" spans="1:11">
      <c r="A12" s="3">
        <v>3</v>
      </c>
      <c r="B12" s="3">
        <v>5470.93</v>
      </c>
      <c r="C12" s="3">
        <v>321.26</v>
      </c>
      <c r="D12" s="30">
        <v>0.10880000000000001</v>
      </c>
      <c r="E12" s="31">
        <f t="shared" ref="E12:E17" si="3">E11+1</f>
        <v>3</v>
      </c>
      <c r="F12" s="17">
        <f t="shared" si="2"/>
        <v>1259.7536184210528</v>
      </c>
      <c r="G12" s="17">
        <f t="shared" si="0"/>
        <v>73.974342105263162</v>
      </c>
      <c r="H12" s="20">
        <f t="shared" si="1"/>
        <v>0.10880000000000001</v>
      </c>
    </row>
    <row r="13" spans="1:11">
      <c r="A13" s="3">
        <v>4</v>
      </c>
      <c r="B13" s="3">
        <v>9614.67</v>
      </c>
      <c r="C13" s="3">
        <v>772.1</v>
      </c>
      <c r="D13" s="30">
        <v>0.16</v>
      </c>
      <c r="E13" s="31">
        <f t="shared" si="3"/>
        <v>4</v>
      </c>
      <c r="F13" s="17">
        <f t="shared" si="2"/>
        <v>2213.9042763157895</v>
      </c>
      <c r="G13" s="17">
        <f t="shared" si="0"/>
        <v>177.78618421052633</v>
      </c>
      <c r="H13" s="20">
        <f t="shared" si="1"/>
        <v>0.16</v>
      </c>
    </row>
    <row r="14" spans="1:11">
      <c r="A14" s="3">
        <v>5</v>
      </c>
      <c r="B14" s="3">
        <v>11176.63</v>
      </c>
      <c r="C14" s="3">
        <v>1022.01</v>
      </c>
      <c r="D14" s="30">
        <v>0.17920000000000003</v>
      </c>
      <c r="E14" s="31">
        <f t="shared" si="3"/>
        <v>5</v>
      </c>
      <c r="F14" s="17">
        <f t="shared" si="2"/>
        <v>2573.5661184210526</v>
      </c>
      <c r="G14" s="17">
        <f t="shared" si="0"/>
        <v>235.33125000000001</v>
      </c>
      <c r="H14" s="20">
        <f t="shared" si="1"/>
        <v>0.17920000000000003</v>
      </c>
    </row>
    <row r="15" spans="1:11">
      <c r="A15" s="3">
        <v>6</v>
      </c>
      <c r="B15" s="3">
        <v>13381.48</v>
      </c>
      <c r="C15" s="3">
        <v>1417.12</v>
      </c>
      <c r="D15" s="30">
        <v>0.21359999999999998</v>
      </c>
      <c r="E15" s="31">
        <f t="shared" si="3"/>
        <v>6</v>
      </c>
      <c r="F15" s="17">
        <f t="shared" si="2"/>
        <v>3081.2618421052634</v>
      </c>
      <c r="G15" s="17">
        <f t="shared" si="0"/>
        <v>326.3105263157895</v>
      </c>
      <c r="H15" s="20">
        <f t="shared" si="1"/>
        <v>0.21359999999999998</v>
      </c>
      <c r="K15" s="17"/>
    </row>
    <row r="16" spans="1:11">
      <c r="A16" s="3">
        <v>7</v>
      </c>
      <c r="B16" s="3">
        <v>26988.51</v>
      </c>
      <c r="C16" s="3">
        <v>4323.58</v>
      </c>
      <c r="D16" s="30">
        <v>0.23519999999999999</v>
      </c>
      <c r="E16" s="31">
        <f t="shared" si="3"/>
        <v>7</v>
      </c>
      <c r="F16" s="17">
        <f t="shared" si="2"/>
        <v>6214.4595394736843</v>
      </c>
      <c r="G16" s="17">
        <f t="shared" si="0"/>
        <v>995.56118421052645</v>
      </c>
      <c r="H16" s="20">
        <f t="shared" si="1"/>
        <v>0.23519999999999999</v>
      </c>
      <c r="K16" s="17"/>
    </row>
    <row r="17" spans="1:10">
      <c r="A17" s="3">
        <v>8</v>
      </c>
      <c r="B17" s="3">
        <v>42537.59</v>
      </c>
      <c r="C17" s="3">
        <v>7980.73</v>
      </c>
      <c r="D17" s="30">
        <v>0.3</v>
      </c>
      <c r="E17" s="31">
        <f t="shared" si="3"/>
        <v>8</v>
      </c>
      <c r="F17" s="17">
        <f t="shared" si="2"/>
        <v>9794.839802631579</v>
      </c>
      <c r="G17" s="17">
        <f t="shared" si="0"/>
        <v>1837.6680921052632</v>
      </c>
      <c r="H17" s="20">
        <f t="shared" si="1"/>
        <v>0.3</v>
      </c>
    </row>
    <row r="18" spans="1:10">
      <c r="A18" s="3">
        <v>9</v>
      </c>
      <c r="B18" s="3">
        <v>81211.259999999995</v>
      </c>
      <c r="C18" s="3">
        <v>19582.830000000002</v>
      </c>
      <c r="D18" s="30">
        <v>0.32</v>
      </c>
      <c r="E18" s="31">
        <f>E17+1</f>
        <v>9</v>
      </c>
      <c r="F18" s="17">
        <f t="shared" si="2"/>
        <v>18699.961184210526</v>
      </c>
      <c r="G18" s="17">
        <f t="shared" si="0"/>
        <v>4509.2042763157906</v>
      </c>
      <c r="H18" s="20">
        <f t="shared" si="1"/>
        <v>0.32</v>
      </c>
    </row>
    <row r="19" spans="1:10">
      <c r="A19" s="3">
        <v>10</v>
      </c>
      <c r="B19" s="3">
        <v>108281.68</v>
      </c>
      <c r="C19" s="3">
        <v>28245.360000000001</v>
      </c>
      <c r="D19" s="30">
        <v>0.34</v>
      </c>
      <c r="E19" s="31">
        <f>E18+1</f>
        <v>10</v>
      </c>
      <c r="F19" s="17">
        <f t="shared" si="2"/>
        <v>24933.281578947368</v>
      </c>
      <c r="G19" s="17">
        <f t="shared" si="0"/>
        <v>6503.8657894736853</v>
      </c>
      <c r="H19" s="20">
        <f t="shared" si="1"/>
        <v>0.34</v>
      </c>
    </row>
    <row r="20" spans="1:10">
      <c r="A20" s="3">
        <v>11</v>
      </c>
      <c r="B20" s="3">
        <v>324845.02</v>
      </c>
      <c r="C20" s="3">
        <v>101876.9</v>
      </c>
      <c r="D20" s="30">
        <v>0.35</v>
      </c>
      <c r="E20" s="31">
        <f>E19+1</f>
        <v>11</v>
      </c>
      <c r="F20" s="17">
        <f t="shared" si="2"/>
        <v>74799.840131578952</v>
      </c>
      <c r="G20" s="17">
        <f t="shared" si="0"/>
        <v>23458.496710526317</v>
      </c>
      <c r="H20" s="20">
        <f t="shared" si="1"/>
        <v>0.35</v>
      </c>
    </row>
    <row r="21" spans="1:10">
      <c r="E21" s="27"/>
      <c r="J21" s="44"/>
    </row>
    <row r="22" spans="1:10" ht="14" thickBot="1">
      <c r="E22" s="27"/>
      <c r="J22" s="45"/>
    </row>
    <row r="23" spans="1:10" ht="14" thickBot="1">
      <c r="E23" s="27"/>
      <c r="G23" s="41">
        <f>G7</f>
        <v>7</v>
      </c>
      <c r="H23" s="3">
        <f>B30/30.4*G23</f>
        <v>814.64342105263165</v>
      </c>
      <c r="J23" s="46"/>
    </row>
    <row r="24" spans="1:10" ht="14">
      <c r="A24" s="29" t="s">
        <v>50</v>
      </c>
      <c r="E24" s="27"/>
      <c r="F24" s="21" t="s">
        <v>52</v>
      </c>
      <c r="G24" s="3">
        <f>H23/B30</f>
        <v>0.23026315789473686</v>
      </c>
    </row>
    <row r="25" spans="1:10" ht="14">
      <c r="A25" s="32"/>
      <c r="B25" s="33" t="s">
        <v>21</v>
      </c>
      <c r="C25" s="33" t="s">
        <v>22</v>
      </c>
      <c r="D25" s="33" t="s">
        <v>14</v>
      </c>
      <c r="E25" s="27"/>
      <c r="F25" s="22" t="s">
        <v>3</v>
      </c>
      <c r="G25" s="22" t="s">
        <v>4</v>
      </c>
    </row>
    <row r="26" spans="1:10">
      <c r="A26" s="3">
        <v>1</v>
      </c>
      <c r="B26" s="34">
        <v>0</v>
      </c>
      <c r="C26" s="34">
        <v>1768.96</v>
      </c>
      <c r="D26" s="34">
        <v>407.02</v>
      </c>
      <c r="E26" s="35">
        <v>1</v>
      </c>
      <c r="F26" s="3">
        <v>0</v>
      </c>
      <c r="G26" s="3">
        <f t="shared" ref="G26:G36" si="4">D26*$G$24</f>
        <v>93.721710526315789</v>
      </c>
    </row>
    <row r="27" spans="1:10">
      <c r="A27" s="3">
        <f>A26+1</f>
        <v>2</v>
      </c>
      <c r="B27" s="34">
        <v>1768.97</v>
      </c>
      <c r="C27" s="34">
        <v>2653.38</v>
      </c>
      <c r="D27" s="34">
        <v>406.83</v>
      </c>
      <c r="E27" s="35">
        <f>E26+1</f>
        <v>2</v>
      </c>
      <c r="F27" s="3">
        <f t="shared" ref="F27:F36" si="5">B27*$G$24</f>
        <v>407.32861842105268</v>
      </c>
      <c r="G27" s="3">
        <f t="shared" si="4"/>
        <v>93.6779605263158</v>
      </c>
    </row>
    <row r="28" spans="1:10">
      <c r="A28" s="3">
        <f t="shared" ref="A28:A36" si="6">A27+1</f>
        <v>3</v>
      </c>
      <c r="B28" s="34">
        <v>2653.39</v>
      </c>
      <c r="C28" s="34">
        <v>3472.84</v>
      </c>
      <c r="D28" s="34">
        <v>406.62</v>
      </c>
      <c r="E28" s="35">
        <f t="shared" ref="E28:E36" si="7">E27+1</f>
        <v>3</v>
      </c>
      <c r="F28" s="3">
        <f t="shared" si="5"/>
        <v>610.97796052631577</v>
      </c>
      <c r="G28" s="3">
        <f t="shared" si="4"/>
        <v>93.629605263157899</v>
      </c>
    </row>
    <row r="29" spans="1:10">
      <c r="A29" s="3">
        <f t="shared" si="6"/>
        <v>4</v>
      </c>
      <c r="B29" s="34">
        <v>3472.85</v>
      </c>
      <c r="C29" s="34">
        <v>3537.87</v>
      </c>
      <c r="D29" s="34">
        <v>392.77</v>
      </c>
      <c r="E29" s="35">
        <f t="shared" si="7"/>
        <v>4</v>
      </c>
      <c r="F29" s="3">
        <f t="shared" si="5"/>
        <v>799.66940789473688</v>
      </c>
      <c r="G29" s="3">
        <f t="shared" si="4"/>
        <v>90.440460526315789</v>
      </c>
    </row>
    <row r="30" spans="1:10">
      <c r="A30" s="3">
        <f t="shared" si="6"/>
        <v>5</v>
      </c>
      <c r="B30" s="34">
        <v>3537.88</v>
      </c>
      <c r="C30" s="34">
        <v>4446.1499999999996</v>
      </c>
      <c r="D30" s="34">
        <v>382.46</v>
      </c>
      <c r="E30" s="35">
        <f t="shared" si="7"/>
        <v>5</v>
      </c>
      <c r="F30" s="3">
        <f t="shared" si="5"/>
        <v>814.64342105263165</v>
      </c>
      <c r="G30" s="3">
        <f t="shared" si="4"/>
        <v>88.066447368421052</v>
      </c>
    </row>
    <row r="31" spans="1:10">
      <c r="A31" s="3">
        <f t="shared" si="6"/>
        <v>6</v>
      </c>
      <c r="B31" s="34">
        <v>4446.16</v>
      </c>
      <c r="C31" s="34">
        <v>4717.18</v>
      </c>
      <c r="D31" s="34">
        <v>354.23</v>
      </c>
      <c r="E31" s="35">
        <f t="shared" si="7"/>
        <v>6</v>
      </c>
      <c r="F31" s="3">
        <f t="shared" si="5"/>
        <v>1023.7868421052632</v>
      </c>
      <c r="G31" s="3">
        <f t="shared" si="4"/>
        <v>81.56611842105265</v>
      </c>
    </row>
    <row r="32" spans="1:10">
      <c r="A32" s="3">
        <f t="shared" si="6"/>
        <v>7</v>
      </c>
      <c r="B32" s="34">
        <v>4717.1899999999996</v>
      </c>
      <c r="C32" s="34">
        <v>5335.42</v>
      </c>
      <c r="D32" s="34">
        <v>324.87</v>
      </c>
      <c r="E32" s="35">
        <f t="shared" si="7"/>
        <v>7</v>
      </c>
      <c r="F32" s="3">
        <f t="shared" si="5"/>
        <v>1086.1950657894738</v>
      </c>
      <c r="G32" s="3">
        <f t="shared" si="4"/>
        <v>74.805592105263173</v>
      </c>
    </row>
    <row r="33" spans="1:8">
      <c r="A33" s="3">
        <f t="shared" si="6"/>
        <v>8</v>
      </c>
      <c r="B33" s="34">
        <v>5335.43</v>
      </c>
      <c r="C33" s="34">
        <v>6224.67</v>
      </c>
      <c r="D33" s="34">
        <v>294.63</v>
      </c>
      <c r="E33" s="35">
        <f t="shared" si="7"/>
        <v>8</v>
      </c>
      <c r="F33" s="3">
        <f t="shared" si="5"/>
        <v>1228.5529605263159</v>
      </c>
      <c r="G33" s="3">
        <f t="shared" si="4"/>
        <v>67.842434210526321</v>
      </c>
    </row>
    <row r="34" spans="1:8">
      <c r="A34" s="3">
        <f t="shared" si="6"/>
        <v>9</v>
      </c>
      <c r="B34" s="34">
        <v>6224.68</v>
      </c>
      <c r="C34" s="34">
        <v>7113.9</v>
      </c>
      <c r="D34" s="34">
        <v>253.54</v>
      </c>
      <c r="E34" s="35">
        <f t="shared" si="7"/>
        <v>9</v>
      </c>
      <c r="F34" s="3">
        <f t="shared" si="5"/>
        <v>1433.3144736842107</v>
      </c>
      <c r="G34" s="3">
        <f t="shared" si="4"/>
        <v>58.380921052631585</v>
      </c>
    </row>
    <row r="35" spans="1:8">
      <c r="A35" s="3">
        <f t="shared" si="6"/>
        <v>10</v>
      </c>
      <c r="B35" s="34">
        <v>7113.91</v>
      </c>
      <c r="C35" s="34">
        <v>7382.33</v>
      </c>
      <c r="D35" s="34">
        <v>217.61</v>
      </c>
      <c r="E35" s="35">
        <f t="shared" si="7"/>
        <v>10</v>
      </c>
      <c r="F35" s="3">
        <f t="shared" si="5"/>
        <v>1638.0713815789475</v>
      </c>
      <c r="G35" s="3">
        <f t="shared" si="4"/>
        <v>50.107565789473689</v>
      </c>
    </row>
    <row r="36" spans="1:8" ht="14">
      <c r="A36" s="3">
        <f t="shared" si="6"/>
        <v>11</v>
      </c>
      <c r="B36" s="34">
        <v>7382.34</v>
      </c>
      <c r="C36" s="34" t="s">
        <v>9</v>
      </c>
      <c r="D36" s="34">
        <v>0</v>
      </c>
      <c r="E36" s="35">
        <f t="shared" si="7"/>
        <v>11</v>
      </c>
      <c r="F36" s="3">
        <f t="shared" si="5"/>
        <v>1699.8809210526317</v>
      </c>
      <c r="G36" s="3">
        <f t="shared" si="4"/>
        <v>0</v>
      </c>
    </row>
    <row r="37" spans="1:8">
      <c r="B37" s="34"/>
      <c r="C37" s="34"/>
      <c r="D37" s="34"/>
      <c r="E37" s="34"/>
    </row>
    <row r="38" spans="1:8">
      <c r="B38" s="34"/>
      <c r="C38" s="34"/>
      <c r="D38" s="34"/>
      <c r="E38" s="34"/>
    </row>
    <row r="39" spans="1:8">
      <c r="B39" s="34"/>
      <c r="C39" s="34"/>
      <c r="D39" s="34"/>
      <c r="E39" s="34"/>
    </row>
    <row r="40" spans="1:8">
      <c r="B40" s="34"/>
      <c r="C40" s="34"/>
      <c r="D40" s="34"/>
      <c r="E40" s="34"/>
    </row>
    <row r="41" spans="1:8">
      <c r="B41" s="34"/>
      <c r="C41" s="34"/>
      <c r="D41" s="34"/>
      <c r="E41" s="34"/>
    </row>
    <row r="42" spans="1:8">
      <c r="C42" s="34"/>
    </row>
    <row r="43" spans="1:8">
      <c r="C43" s="34"/>
      <c r="H43" s="23" t="s">
        <v>13</v>
      </c>
    </row>
    <row r="44" spans="1:8">
      <c r="C44" s="34"/>
      <c r="H44" s="3" t="s">
        <v>11</v>
      </c>
    </row>
    <row r="45" spans="1:8">
      <c r="C45" s="34"/>
      <c r="H45" s="3" t="s">
        <v>12</v>
      </c>
    </row>
    <row r="46" spans="1:8">
      <c r="C46" s="34"/>
    </row>
    <row r="47" spans="1:8">
      <c r="C47" s="34"/>
    </row>
    <row r="48" spans="1:8">
      <c r="C48" s="34"/>
    </row>
    <row r="49" spans="3:12">
      <c r="C49" s="17"/>
    </row>
    <row r="53" spans="3:12">
      <c r="H53" s="42">
        <v>134119.42000000001</v>
      </c>
      <c r="I53" s="17"/>
    </row>
    <row r="54" spans="3:12">
      <c r="E54" s="36"/>
      <c r="F54" s="24" t="s">
        <v>54</v>
      </c>
      <c r="H54" s="3">
        <v>1.1142000138901766</v>
      </c>
      <c r="I54" s="17"/>
    </row>
    <row r="55" spans="3:12" ht="14">
      <c r="E55" s="37"/>
      <c r="F55" s="25" t="s">
        <v>3</v>
      </c>
      <c r="G55" s="25" t="s">
        <v>16</v>
      </c>
      <c r="H55" s="25" t="s">
        <v>15</v>
      </c>
      <c r="I55" s="17"/>
    </row>
    <row r="56" spans="3:12">
      <c r="E56" s="37">
        <v>1</v>
      </c>
      <c r="F56" s="25">
        <v>0</v>
      </c>
      <c r="G56" s="25">
        <v>0</v>
      </c>
      <c r="H56" s="26">
        <v>1.9199999999999998E-2</v>
      </c>
      <c r="I56" s="17"/>
    </row>
    <row r="57" spans="3:12">
      <c r="E57" s="37">
        <v>2</v>
      </c>
      <c r="F57" s="25">
        <v>7735.0104784285231</v>
      </c>
      <c r="G57" s="25">
        <v>148.50057785128274</v>
      </c>
      <c r="H57" s="26">
        <v>6.4000000000000001E-2</v>
      </c>
      <c r="I57" s="17"/>
      <c r="J57" s="17"/>
      <c r="K57" s="17"/>
      <c r="L57" s="17"/>
    </row>
    <row r="58" spans="3:12">
      <c r="E58" s="37">
        <v>3</v>
      </c>
      <c r="F58" s="25">
        <v>65651.082632439342</v>
      </c>
      <c r="G58" s="25">
        <v>3855.1431900601501</v>
      </c>
      <c r="H58" s="26">
        <v>0.10880000000000001</v>
      </c>
      <c r="I58" s="17"/>
      <c r="J58" s="17"/>
      <c r="K58" s="17"/>
      <c r="L58" s="17"/>
    </row>
    <row r="59" spans="3:12">
      <c r="E59" s="37">
        <v>4</v>
      </c>
      <c r="F59" s="25">
        <v>115375.91282833404</v>
      </c>
      <c r="G59" s="25">
        <v>9265.2082095047354</v>
      </c>
      <c r="H59" s="26">
        <v>0.16</v>
      </c>
      <c r="I59" s="17"/>
      <c r="J59" s="17"/>
      <c r="K59" s="17"/>
      <c r="L59" s="17"/>
    </row>
    <row r="60" spans="3:12">
      <c r="E60" s="37">
        <v>5</v>
      </c>
      <c r="F60" s="25">
        <v>134119.42000000001</v>
      </c>
      <c r="G60" s="25">
        <v>12264.155540891119</v>
      </c>
      <c r="H60" s="26">
        <v>0.17920000000000003</v>
      </c>
      <c r="I60" s="17"/>
      <c r="J60" s="17"/>
      <c r="K60" s="17"/>
      <c r="L60" s="17"/>
    </row>
    <row r="61" spans="3:12">
      <c r="E61" s="37">
        <v>6</v>
      </c>
      <c r="F61" s="25">
        <v>160577.65920984169</v>
      </c>
      <c r="G61" s="25">
        <v>17005.466569998684</v>
      </c>
      <c r="H61" s="26">
        <v>0.21359999999999998</v>
      </c>
      <c r="I61" s="17"/>
      <c r="J61" s="17"/>
      <c r="K61" s="17"/>
      <c r="L61" s="17"/>
    </row>
    <row r="62" spans="3:12">
      <c r="E62" s="37">
        <v>7</v>
      </c>
      <c r="F62" s="25">
        <v>323862.02222942654</v>
      </c>
      <c r="G62" s="25">
        <v>51883.01333879969</v>
      </c>
      <c r="H62" s="26">
        <v>0.23519999999999999</v>
      </c>
      <c r="I62" s="17"/>
      <c r="J62" s="17"/>
      <c r="K62" s="17"/>
      <c r="L62" s="17"/>
    </row>
    <row r="63" spans="3:12">
      <c r="E63" s="37">
        <v>8</v>
      </c>
      <c r="F63" s="25">
        <v>510451.01502353855</v>
      </c>
      <c r="G63" s="25">
        <v>95768.744657901247</v>
      </c>
      <c r="H63" s="26">
        <v>0.3</v>
      </c>
    </row>
    <row r="64" spans="3:12">
      <c r="E64" s="37">
        <v>9</v>
      </c>
      <c r="F64" s="25">
        <v>974535.05329104315</v>
      </c>
      <c r="G64" s="25">
        <v>234993.95279555258</v>
      </c>
      <c r="H64" s="26">
        <v>0.32</v>
      </c>
    </row>
    <row r="65" spans="5:8">
      <c r="E65" s="37">
        <v>10</v>
      </c>
      <c r="F65" s="25">
        <v>1299380.0673407242</v>
      </c>
      <c r="G65" s="25">
        <v>338944.33500745025</v>
      </c>
      <c r="H65" s="26">
        <v>0.34</v>
      </c>
    </row>
    <row r="66" spans="5:8">
      <c r="E66" s="37">
        <v>11</v>
      </c>
      <c r="F66" s="25">
        <v>3898140.1797381719</v>
      </c>
      <c r="G66" s="25">
        <v>1222522.7732225824</v>
      </c>
      <c r="H66" s="26">
        <v>0.35</v>
      </c>
    </row>
  </sheetData>
  <sheetProtection algorithmName="SHA-512" hashValue="i5xQkRQ+xE+HgDy4yT7YLUvEKad0dgwvrOq7FzlP8UT9pgUeBT6QJMsnG1a87t0IUtZgLvcrzYWw3FIw6Cr20w==" saltValue="Kk538oeTpyCypBMcZE88jg==" spinCount="100000" sheet="1" objects="1" scenarios="1"/>
  <customSheetViews>
    <customSheetView guid="{B421B96C-BE4E-4B6F-9142-FF1AE2A373A8}" scale="90" showGridLines="0" fitToPage="1" hiddenColumns="1" topLeftCell="G1">
      <selection activeCell="I13" sqref="I13"/>
      <pageMargins left="0.51181102362204722" right="0.51181102362204722" top="0.51181102362204722" bottom="0.55118110236220474" header="0.51181102362204722" footer="0.51181102362204722"/>
      <printOptions horizontalCentered="1" verticalCentered="1"/>
      <pageSetup scale="38" orientation="portrait" r:id="rId1"/>
      <headerFooter alignWithMargins="0"/>
    </customSheetView>
  </customSheetViews>
  <phoneticPr fontId="3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scale="38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4257-CB89-4C60-BE8D-57FA7572ACBC}">
  <sheetPr transitionEvaluation="1" transitionEntry="1">
    <pageSetUpPr fitToPage="1"/>
  </sheetPr>
  <dimension ref="A1:L53"/>
  <sheetViews>
    <sheetView showGridLines="0" topLeftCell="A32" zoomScaleNormal="100" workbookViewId="0">
      <selection activeCell="G48" sqref="G48"/>
    </sheetView>
  </sheetViews>
  <sheetFormatPr baseColWidth="10" defaultColWidth="12.7109375" defaultRowHeight="13"/>
  <cols>
    <col min="1" max="1" width="9.85546875" style="3" customWidth="1"/>
    <col min="2" max="2" width="14.140625" style="3" customWidth="1"/>
    <col min="3" max="3" width="10.28515625" style="3" customWidth="1"/>
    <col min="4" max="4" width="15.28515625" style="3" customWidth="1"/>
    <col min="5" max="5" width="5.85546875" style="3" customWidth="1"/>
    <col min="6" max="7" width="11.7109375" style="3" customWidth="1"/>
    <col min="8" max="8" width="14.140625" style="3" customWidth="1"/>
    <col min="9" max="10" width="12.7109375" style="3"/>
    <col min="11" max="11" width="12.7109375" style="47"/>
    <col min="12" max="16384" width="12.7109375" style="3"/>
  </cols>
  <sheetData>
    <row r="1" spans="1:12">
      <c r="E1" s="27"/>
      <c r="F1" s="28"/>
      <c r="G1" s="28"/>
      <c r="H1" s="28"/>
    </row>
    <row r="2" spans="1:12">
      <c r="E2" s="27"/>
      <c r="F2" s="28"/>
      <c r="G2" s="28"/>
      <c r="H2" s="28"/>
    </row>
    <row r="3" spans="1:12">
      <c r="E3" s="27"/>
      <c r="F3" s="28"/>
      <c r="G3" s="28"/>
      <c r="H3" s="28"/>
    </row>
    <row r="4" spans="1:12">
      <c r="E4" s="27"/>
      <c r="F4" s="28"/>
      <c r="G4" s="28"/>
      <c r="H4" s="28"/>
    </row>
    <row r="5" spans="1:12">
      <c r="E5" s="27"/>
      <c r="F5" s="28"/>
      <c r="G5" s="28"/>
      <c r="H5" s="28"/>
    </row>
    <row r="6" spans="1:12" ht="14" thickBot="1">
      <c r="E6" s="27"/>
      <c r="F6" s="16"/>
      <c r="G6" s="16"/>
      <c r="H6" s="16"/>
    </row>
    <row r="7" spans="1:12" ht="14" thickBot="1">
      <c r="A7" s="29" t="s">
        <v>66</v>
      </c>
      <c r="E7" s="27"/>
      <c r="F7" s="17" t="s">
        <v>36</v>
      </c>
      <c r="G7" s="39">
        <f>'Cálculo de Periodos'!C2</f>
        <v>7</v>
      </c>
      <c r="H7" s="40">
        <f>(B14/30.4)*G7</f>
        <v>2978.6450657894738</v>
      </c>
    </row>
    <row r="8" spans="1:12">
      <c r="A8" s="29" t="s">
        <v>67</v>
      </c>
      <c r="E8" s="27"/>
      <c r="F8" s="18" t="s">
        <v>68</v>
      </c>
      <c r="G8" s="17"/>
      <c r="H8" s="17">
        <f>H7/B14</f>
        <v>0.23026315789473686</v>
      </c>
    </row>
    <row r="9" spans="1:12" ht="28">
      <c r="A9" s="22" t="s">
        <v>20</v>
      </c>
      <c r="B9" s="22" t="s">
        <v>3</v>
      </c>
      <c r="C9" s="22" t="s">
        <v>16</v>
      </c>
      <c r="D9" s="22" t="s">
        <v>19</v>
      </c>
      <c r="E9" s="27"/>
      <c r="F9" s="19" t="s">
        <v>1</v>
      </c>
      <c r="G9" s="19" t="s">
        <v>2</v>
      </c>
      <c r="H9" s="19" t="s">
        <v>0</v>
      </c>
    </row>
    <row r="10" spans="1:12">
      <c r="A10" s="3">
        <v>1</v>
      </c>
      <c r="B10" s="3">
        <v>0</v>
      </c>
      <c r="C10" s="3">
        <v>0</v>
      </c>
      <c r="D10" s="30">
        <v>1.9199999999999998E-2</v>
      </c>
      <c r="E10" s="31">
        <v>1</v>
      </c>
      <c r="F10" s="17">
        <v>0</v>
      </c>
      <c r="G10" s="17">
        <f t="shared" ref="G10:G20" si="0">C10*$H$8</f>
        <v>0</v>
      </c>
      <c r="H10" s="20">
        <f t="shared" ref="H10:H20" si="1">D10</f>
        <v>1.9199999999999998E-2</v>
      </c>
      <c r="J10" s="95">
        <v>0.01</v>
      </c>
      <c r="K10" s="95">
        <v>0</v>
      </c>
      <c r="L10" s="95">
        <v>1.92</v>
      </c>
    </row>
    <row r="11" spans="1:12">
      <c r="A11" s="3">
        <v>2</v>
      </c>
      <c r="B11" s="3">
        <v>746.05</v>
      </c>
      <c r="C11" s="3">
        <v>14.32</v>
      </c>
      <c r="D11" s="30">
        <v>6.4000000000000001E-2</v>
      </c>
      <c r="E11" s="31">
        <f>E10+1</f>
        <v>2</v>
      </c>
      <c r="F11" s="17">
        <f t="shared" ref="F11:F20" si="2">B11*$H$8</f>
        <v>171.78782894736844</v>
      </c>
      <c r="G11" s="17">
        <f t="shared" si="0"/>
        <v>3.2973684210526319</v>
      </c>
      <c r="H11" s="20">
        <f t="shared" si="1"/>
        <v>6.4000000000000001E-2</v>
      </c>
      <c r="J11" s="95">
        <v>746.05</v>
      </c>
      <c r="K11" s="95">
        <v>14.32</v>
      </c>
      <c r="L11" s="95">
        <v>6.4</v>
      </c>
    </row>
    <row r="12" spans="1:12">
      <c r="A12" s="3">
        <v>3</v>
      </c>
      <c r="B12" s="3">
        <v>6332.06</v>
      </c>
      <c r="C12" s="3">
        <v>371.83</v>
      </c>
      <c r="D12" s="30">
        <v>0.10880000000000001</v>
      </c>
      <c r="E12" s="31">
        <f t="shared" ref="E12:E17" si="3">E11+1</f>
        <v>3</v>
      </c>
      <c r="F12" s="17">
        <f t="shared" si="2"/>
        <v>1458.0401315789477</v>
      </c>
      <c r="G12" s="17">
        <f t="shared" si="0"/>
        <v>85.618750000000006</v>
      </c>
      <c r="H12" s="20">
        <f t="shared" si="1"/>
        <v>0.10880000000000001</v>
      </c>
      <c r="J12" s="95">
        <v>6332.06</v>
      </c>
      <c r="K12" s="95">
        <v>371.83</v>
      </c>
      <c r="L12" s="95">
        <v>10.88</v>
      </c>
    </row>
    <row r="13" spans="1:12">
      <c r="A13" s="3">
        <v>4</v>
      </c>
      <c r="B13" s="3">
        <v>11128.02</v>
      </c>
      <c r="C13" s="3">
        <v>893.63</v>
      </c>
      <c r="D13" s="30">
        <v>0.16</v>
      </c>
      <c r="E13" s="31">
        <f t="shared" si="3"/>
        <v>4</v>
      </c>
      <c r="F13" s="17">
        <f t="shared" si="2"/>
        <v>2562.37302631579</v>
      </c>
      <c r="G13" s="17">
        <f t="shared" si="0"/>
        <v>205.7700657894737</v>
      </c>
      <c r="H13" s="20">
        <f t="shared" si="1"/>
        <v>0.16</v>
      </c>
      <c r="J13" s="95">
        <v>11128.02</v>
      </c>
      <c r="K13" s="95">
        <v>893.63</v>
      </c>
      <c r="L13" s="95">
        <v>16</v>
      </c>
    </row>
    <row r="14" spans="1:12">
      <c r="A14" s="3">
        <v>5</v>
      </c>
      <c r="B14" s="3">
        <v>12935.83</v>
      </c>
      <c r="C14" s="3">
        <v>1182.8800000000001</v>
      </c>
      <c r="D14" s="30">
        <v>0.17920000000000003</v>
      </c>
      <c r="E14" s="31">
        <f t="shared" si="3"/>
        <v>5</v>
      </c>
      <c r="F14" s="17">
        <f t="shared" si="2"/>
        <v>2978.6450657894738</v>
      </c>
      <c r="G14" s="17">
        <f t="shared" si="0"/>
        <v>272.37368421052639</v>
      </c>
      <c r="H14" s="20">
        <f t="shared" si="1"/>
        <v>0.17920000000000003</v>
      </c>
      <c r="J14" s="95">
        <v>12935.83</v>
      </c>
      <c r="K14" s="95">
        <v>1182.8800000000001</v>
      </c>
      <c r="L14" s="95">
        <v>17.920000000000002</v>
      </c>
    </row>
    <row r="15" spans="1:12">
      <c r="A15" s="3">
        <v>6</v>
      </c>
      <c r="B15" s="3">
        <v>15487.72</v>
      </c>
      <c r="C15" s="3">
        <v>1640.18</v>
      </c>
      <c r="D15" s="30">
        <v>0.21359999999999998</v>
      </c>
      <c r="E15" s="31">
        <f t="shared" si="3"/>
        <v>6</v>
      </c>
      <c r="F15" s="17">
        <f t="shared" si="2"/>
        <v>3566.2513157894737</v>
      </c>
      <c r="G15" s="17">
        <f t="shared" si="0"/>
        <v>377.67302631578951</v>
      </c>
      <c r="H15" s="20">
        <f t="shared" si="1"/>
        <v>0.21359999999999998</v>
      </c>
      <c r="J15" s="95">
        <v>15487.72</v>
      </c>
      <c r="K15" s="95">
        <v>1640.18</v>
      </c>
      <c r="L15" s="95">
        <v>21.36</v>
      </c>
    </row>
    <row r="16" spans="1:12">
      <c r="A16" s="3">
        <v>7</v>
      </c>
      <c r="B16" s="3">
        <v>31236.5</v>
      </c>
      <c r="C16" s="3">
        <v>5004.12</v>
      </c>
      <c r="D16" s="30">
        <v>0.23519999999999999</v>
      </c>
      <c r="E16" s="31">
        <f t="shared" si="3"/>
        <v>7</v>
      </c>
      <c r="F16" s="17">
        <f t="shared" si="2"/>
        <v>7192.6151315789484</v>
      </c>
      <c r="G16" s="17">
        <f t="shared" si="0"/>
        <v>1152.2644736842105</v>
      </c>
      <c r="H16" s="20">
        <f t="shared" si="1"/>
        <v>0.23519999999999999</v>
      </c>
      <c r="J16" s="95">
        <v>31236.5</v>
      </c>
      <c r="K16" s="95">
        <v>5004.12</v>
      </c>
      <c r="L16" s="95">
        <v>23.52</v>
      </c>
    </row>
    <row r="17" spans="1:12">
      <c r="A17" s="3">
        <v>8</v>
      </c>
      <c r="B17" s="3">
        <v>49233.01</v>
      </c>
      <c r="C17" s="3">
        <v>9236.89</v>
      </c>
      <c r="D17" s="30">
        <v>0.3</v>
      </c>
      <c r="E17" s="31">
        <f t="shared" si="3"/>
        <v>8</v>
      </c>
      <c r="F17" s="17">
        <f t="shared" si="2"/>
        <v>11336.548355263159</v>
      </c>
      <c r="G17" s="17">
        <f t="shared" si="0"/>
        <v>2126.9154605263157</v>
      </c>
      <c r="H17" s="20">
        <f t="shared" si="1"/>
        <v>0.3</v>
      </c>
      <c r="J17" s="95">
        <v>49233.01</v>
      </c>
      <c r="K17" s="95">
        <v>9236.89</v>
      </c>
      <c r="L17" s="95">
        <v>30</v>
      </c>
    </row>
    <row r="18" spans="1:12">
      <c r="A18" s="3">
        <v>9</v>
      </c>
      <c r="B18" s="3">
        <v>93993.91</v>
      </c>
      <c r="C18" s="3">
        <v>22665.17</v>
      </c>
      <c r="D18" s="30">
        <v>0.32</v>
      </c>
      <c r="E18" s="31">
        <f>E17+1</f>
        <v>9</v>
      </c>
      <c r="F18" s="17">
        <f t="shared" si="2"/>
        <v>21643.334539473686</v>
      </c>
      <c r="G18" s="17">
        <f t="shared" si="0"/>
        <v>5218.9536184210529</v>
      </c>
      <c r="H18" s="20">
        <f t="shared" si="1"/>
        <v>0.32</v>
      </c>
      <c r="J18" s="95">
        <v>93993.91</v>
      </c>
      <c r="K18" s="95">
        <v>22665.17</v>
      </c>
      <c r="L18" s="95">
        <v>32</v>
      </c>
    </row>
    <row r="19" spans="1:12">
      <c r="A19" s="3">
        <v>10</v>
      </c>
      <c r="B19" s="3">
        <v>125325.21</v>
      </c>
      <c r="C19" s="3">
        <v>32691.18</v>
      </c>
      <c r="D19" s="30">
        <v>0.34</v>
      </c>
      <c r="E19" s="31">
        <f>E18+1</f>
        <v>10</v>
      </c>
      <c r="F19" s="17">
        <f t="shared" si="2"/>
        <v>28857.778618421056</v>
      </c>
      <c r="G19" s="17">
        <f t="shared" si="0"/>
        <v>7527.5743421052639</v>
      </c>
      <c r="H19" s="20">
        <f t="shared" si="1"/>
        <v>0.34</v>
      </c>
      <c r="J19" s="95">
        <v>125325.21</v>
      </c>
      <c r="K19" s="95">
        <v>32691.18</v>
      </c>
      <c r="L19" s="95">
        <v>34</v>
      </c>
    </row>
    <row r="20" spans="1:12" ht="14" thickBot="1">
      <c r="A20" s="3">
        <v>11</v>
      </c>
      <c r="B20" s="3">
        <v>375975.62</v>
      </c>
      <c r="C20" s="3">
        <v>117912.32000000001</v>
      </c>
      <c r="D20" s="30">
        <v>0.35</v>
      </c>
      <c r="E20" s="31">
        <f>E19+1</f>
        <v>11</v>
      </c>
      <c r="F20" s="17">
        <f t="shared" si="2"/>
        <v>86573.333552631593</v>
      </c>
      <c r="G20" s="17">
        <f t="shared" si="0"/>
        <v>27150.863157894742</v>
      </c>
      <c r="H20" s="20">
        <f t="shared" si="1"/>
        <v>0.35</v>
      </c>
      <c r="J20" s="96">
        <v>375975.62</v>
      </c>
      <c r="K20" s="97">
        <v>117912.32000000001</v>
      </c>
      <c r="L20" s="96">
        <v>35</v>
      </c>
    </row>
    <row r="21" spans="1:12" ht="14" thickTop="1">
      <c r="E21" s="27"/>
      <c r="J21" s="44"/>
    </row>
    <row r="22" spans="1:12" ht="14" thickBot="1">
      <c r="E22" s="27"/>
      <c r="J22" s="45"/>
    </row>
    <row r="23" spans="1:12" ht="14" thickBot="1">
      <c r="E23" s="27"/>
      <c r="G23" s="41">
        <f>G7</f>
        <v>7</v>
      </c>
      <c r="H23" s="3">
        <f>B30/30.4*G23</f>
        <v>814.64342105263165</v>
      </c>
      <c r="J23" s="46"/>
    </row>
    <row r="24" spans="1:12" ht="14">
      <c r="A24" s="29" t="s">
        <v>50</v>
      </c>
      <c r="E24" s="27"/>
      <c r="F24" s="21" t="s">
        <v>52</v>
      </c>
      <c r="G24" s="3">
        <f>H23/B30</f>
        <v>0.23026315789473686</v>
      </c>
    </row>
    <row r="25" spans="1:12" ht="14">
      <c r="A25" s="32"/>
      <c r="B25" s="33" t="s">
        <v>21</v>
      </c>
      <c r="C25" s="33" t="s">
        <v>22</v>
      </c>
      <c r="D25" s="33" t="s">
        <v>14</v>
      </c>
      <c r="E25" s="27"/>
      <c r="F25" s="22" t="s">
        <v>3</v>
      </c>
      <c r="G25" s="22" t="s">
        <v>4</v>
      </c>
    </row>
    <row r="26" spans="1:12">
      <c r="A26" s="3">
        <v>1</v>
      </c>
      <c r="B26" s="34">
        <v>0</v>
      </c>
      <c r="C26" s="34">
        <v>1768.96</v>
      </c>
      <c r="D26" s="34">
        <v>407.02</v>
      </c>
      <c r="E26" s="35">
        <v>1</v>
      </c>
      <c r="F26" s="3">
        <v>0</v>
      </c>
      <c r="G26" s="3">
        <f t="shared" ref="G26:G36" si="4">D26*$G$24</f>
        <v>93.721710526315789</v>
      </c>
    </row>
    <row r="27" spans="1:12">
      <c r="A27" s="3">
        <f>A26+1</f>
        <v>2</v>
      </c>
      <c r="B27" s="34">
        <v>1768.97</v>
      </c>
      <c r="C27" s="34">
        <v>2653.38</v>
      </c>
      <c r="D27" s="34">
        <v>406.83</v>
      </c>
      <c r="E27" s="35">
        <f>E26+1</f>
        <v>2</v>
      </c>
      <c r="F27" s="3">
        <f t="shared" ref="F27:F36" si="5">B27*$G$24</f>
        <v>407.32861842105268</v>
      </c>
      <c r="G27" s="3">
        <f t="shared" si="4"/>
        <v>93.6779605263158</v>
      </c>
    </row>
    <row r="28" spans="1:12">
      <c r="A28" s="3">
        <f t="shared" ref="A28:A36" si="6">A27+1</f>
        <v>3</v>
      </c>
      <c r="B28" s="34">
        <v>2653.39</v>
      </c>
      <c r="C28" s="34">
        <v>3472.84</v>
      </c>
      <c r="D28" s="34">
        <v>406.62</v>
      </c>
      <c r="E28" s="35">
        <f t="shared" ref="E28:E36" si="7">E27+1</f>
        <v>3</v>
      </c>
      <c r="F28" s="3">
        <f t="shared" si="5"/>
        <v>610.97796052631577</v>
      </c>
      <c r="G28" s="3">
        <f t="shared" si="4"/>
        <v>93.629605263157899</v>
      </c>
    </row>
    <row r="29" spans="1:12">
      <c r="A29" s="3">
        <f t="shared" si="6"/>
        <v>4</v>
      </c>
      <c r="B29" s="34">
        <v>3472.85</v>
      </c>
      <c r="C29" s="34">
        <v>3537.87</v>
      </c>
      <c r="D29" s="34">
        <v>392.77</v>
      </c>
      <c r="E29" s="35">
        <f t="shared" si="7"/>
        <v>4</v>
      </c>
      <c r="F29" s="3">
        <f t="shared" si="5"/>
        <v>799.66940789473688</v>
      </c>
      <c r="G29" s="3">
        <f t="shared" si="4"/>
        <v>90.440460526315789</v>
      </c>
      <c r="I29" s="23" t="s">
        <v>13</v>
      </c>
    </row>
    <row r="30" spans="1:12">
      <c r="A30" s="3">
        <f t="shared" si="6"/>
        <v>5</v>
      </c>
      <c r="B30" s="34">
        <v>3537.88</v>
      </c>
      <c r="C30" s="34">
        <v>4446.1499999999996</v>
      </c>
      <c r="D30" s="34">
        <v>382.46</v>
      </c>
      <c r="E30" s="35">
        <f t="shared" si="7"/>
        <v>5</v>
      </c>
      <c r="F30" s="3">
        <f t="shared" si="5"/>
        <v>814.64342105263165</v>
      </c>
      <c r="G30" s="3">
        <f t="shared" si="4"/>
        <v>88.066447368421052</v>
      </c>
      <c r="I30" s="3" t="s">
        <v>11</v>
      </c>
    </row>
    <row r="31" spans="1:12">
      <c r="A31" s="3">
        <f t="shared" si="6"/>
        <v>6</v>
      </c>
      <c r="B31" s="34">
        <v>4446.16</v>
      </c>
      <c r="C31" s="34">
        <v>4717.18</v>
      </c>
      <c r="D31" s="34">
        <v>354.23</v>
      </c>
      <c r="E31" s="35">
        <f t="shared" si="7"/>
        <v>6</v>
      </c>
      <c r="F31" s="3">
        <f t="shared" si="5"/>
        <v>1023.7868421052632</v>
      </c>
      <c r="G31" s="3">
        <f t="shared" si="4"/>
        <v>81.56611842105265</v>
      </c>
      <c r="I31" s="3" t="s">
        <v>12</v>
      </c>
    </row>
    <row r="32" spans="1:12">
      <c r="A32" s="3">
        <f t="shared" si="6"/>
        <v>7</v>
      </c>
      <c r="B32" s="34">
        <v>4717.1899999999996</v>
      </c>
      <c r="C32" s="34">
        <v>5335.42</v>
      </c>
      <c r="D32" s="34">
        <v>324.87</v>
      </c>
      <c r="E32" s="35">
        <f t="shared" si="7"/>
        <v>7</v>
      </c>
      <c r="F32" s="3">
        <f t="shared" si="5"/>
        <v>1086.1950657894738</v>
      </c>
      <c r="G32" s="3">
        <f t="shared" si="4"/>
        <v>74.805592105263173</v>
      </c>
    </row>
    <row r="33" spans="1:12">
      <c r="A33" s="3">
        <f t="shared" si="6"/>
        <v>8</v>
      </c>
      <c r="B33" s="34">
        <v>5335.43</v>
      </c>
      <c r="C33" s="34">
        <v>6224.67</v>
      </c>
      <c r="D33" s="34">
        <v>294.63</v>
      </c>
      <c r="E33" s="35">
        <f t="shared" si="7"/>
        <v>8</v>
      </c>
      <c r="F33" s="3">
        <f t="shared" si="5"/>
        <v>1228.5529605263159</v>
      </c>
      <c r="G33" s="3">
        <f t="shared" si="4"/>
        <v>67.842434210526321</v>
      </c>
    </row>
    <row r="34" spans="1:12">
      <c r="A34" s="3">
        <f t="shared" si="6"/>
        <v>9</v>
      </c>
      <c r="B34" s="34">
        <v>6224.68</v>
      </c>
      <c r="C34" s="34">
        <v>7113.9</v>
      </c>
      <c r="D34" s="34">
        <v>253.54</v>
      </c>
      <c r="E34" s="35">
        <f t="shared" si="7"/>
        <v>9</v>
      </c>
      <c r="F34" s="3">
        <f t="shared" si="5"/>
        <v>1433.3144736842107</v>
      </c>
      <c r="G34" s="3">
        <f t="shared" si="4"/>
        <v>58.380921052631585</v>
      </c>
    </row>
    <row r="35" spans="1:12">
      <c r="A35" s="3">
        <f t="shared" si="6"/>
        <v>10</v>
      </c>
      <c r="B35" s="34">
        <v>7113.91</v>
      </c>
      <c r="C35" s="34">
        <v>7382.33</v>
      </c>
      <c r="D35" s="34">
        <v>217.61</v>
      </c>
      <c r="E35" s="35">
        <f t="shared" si="7"/>
        <v>10</v>
      </c>
      <c r="F35" s="3">
        <f t="shared" si="5"/>
        <v>1638.0713815789475</v>
      </c>
      <c r="G35" s="3">
        <f t="shared" si="4"/>
        <v>50.107565789473689</v>
      </c>
    </row>
    <row r="36" spans="1:12" ht="14">
      <c r="A36" s="3">
        <f t="shared" si="6"/>
        <v>11</v>
      </c>
      <c r="B36" s="34">
        <v>7382.34</v>
      </c>
      <c r="C36" s="34" t="s">
        <v>9</v>
      </c>
      <c r="D36" s="34">
        <v>0</v>
      </c>
      <c r="E36" s="35">
        <f t="shared" si="7"/>
        <v>11</v>
      </c>
      <c r="F36" s="3">
        <f t="shared" si="5"/>
        <v>1699.8809210526317</v>
      </c>
      <c r="G36" s="3">
        <f t="shared" si="4"/>
        <v>0</v>
      </c>
    </row>
    <row r="37" spans="1:12">
      <c r="B37" s="34"/>
      <c r="C37" s="34"/>
      <c r="D37" s="34"/>
      <c r="E37" s="34"/>
    </row>
    <row r="38" spans="1:12">
      <c r="C38" s="17"/>
    </row>
    <row r="39" spans="1:12">
      <c r="H39" s="42">
        <v>134119.42000000001</v>
      </c>
      <c r="I39" s="17"/>
    </row>
    <row r="40" spans="1:12">
      <c r="E40" s="36"/>
      <c r="F40" s="24" t="s">
        <v>69</v>
      </c>
      <c r="H40" s="3">
        <v>1.1142000138901766</v>
      </c>
      <c r="I40" s="17"/>
    </row>
    <row r="41" spans="1:12" ht="14">
      <c r="E41" s="37"/>
      <c r="F41" s="25" t="s">
        <v>3</v>
      </c>
      <c r="G41" s="25" t="s">
        <v>16</v>
      </c>
      <c r="H41" s="25" t="s">
        <v>15</v>
      </c>
      <c r="I41" s="17"/>
    </row>
    <row r="42" spans="1:12">
      <c r="E42" s="37">
        <v>1</v>
      </c>
      <c r="F42" s="25">
        <v>0</v>
      </c>
      <c r="G42" s="25">
        <v>0</v>
      </c>
      <c r="H42" s="26">
        <v>1.9199999999999998E-2</v>
      </c>
      <c r="I42" s="95">
        <v>0.01</v>
      </c>
      <c r="J42" s="95">
        <v>0</v>
      </c>
      <c r="K42" s="95">
        <v>1.92</v>
      </c>
    </row>
    <row r="43" spans="1:12">
      <c r="E43" s="37">
        <v>2</v>
      </c>
      <c r="F43" s="25">
        <v>8952.5</v>
      </c>
      <c r="G43" s="25">
        <v>171.88</v>
      </c>
      <c r="H43" s="26">
        <v>6.4000000000000001E-2</v>
      </c>
      <c r="I43" s="95">
        <v>8952.5</v>
      </c>
      <c r="J43" s="95">
        <v>171.88</v>
      </c>
      <c r="K43" s="95">
        <v>6.4</v>
      </c>
      <c r="L43" s="17"/>
    </row>
    <row r="44" spans="1:12">
      <c r="E44" s="37">
        <v>3</v>
      </c>
      <c r="F44" s="25">
        <v>75984.56</v>
      </c>
      <c r="G44" s="25">
        <v>4461.9399999999996</v>
      </c>
      <c r="H44" s="26">
        <v>0.10880000000000001</v>
      </c>
      <c r="I44" s="95">
        <v>75984.56</v>
      </c>
      <c r="J44" s="95">
        <v>4461.9399999999996</v>
      </c>
      <c r="K44" s="95">
        <v>10.88</v>
      </c>
      <c r="L44" s="17"/>
    </row>
    <row r="45" spans="1:12">
      <c r="E45" s="37">
        <v>4</v>
      </c>
      <c r="F45" s="25">
        <v>133536.07999999999</v>
      </c>
      <c r="G45" s="25">
        <v>10723.55</v>
      </c>
      <c r="H45" s="26">
        <v>0.16</v>
      </c>
      <c r="I45" s="95">
        <v>133536.07999999999</v>
      </c>
      <c r="J45" s="95">
        <v>10723.55</v>
      </c>
      <c r="K45" s="95">
        <v>16</v>
      </c>
      <c r="L45" s="17"/>
    </row>
    <row r="46" spans="1:12">
      <c r="E46" s="37">
        <v>5</v>
      </c>
      <c r="F46" s="25">
        <v>155229.81</v>
      </c>
      <c r="G46" s="25">
        <v>14194.54</v>
      </c>
      <c r="H46" s="26">
        <v>0.17920000000000003</v>
      </c>
      <c r="I46" s="95">
        <v>155229.81</v>
      </c>
      <c r="J46" s="95">
        <v>14194.54</v>
      </c>
      <c r="K46" s="95">
        <v>17.920000000000002</v>
      </c>
      <c r="L46" s="17"/>
    </row>
    <row r="47" spans="1:12">
      <c r="E47" s="37">
        <v>6</v>
      </c>
      <c r="F47" s="25">
        <v>185852.58</v>
      </c>
      <c r="G47" s="25">
        <v>19682.13</v>
      </c>
      <c r="H47" s="26">
        <v>0.21359999999999998</v>
      </c>
      <c r="I47" s="95">
        <v>185852.58</v>
      </c>
      <c r="J47" s="95">
        <v>19682.13</v>
      </c>
      <c r="K47" s="95">
        <v>21.36</v>
      </c>
      <c r="L47" s="17"/>
    </row>
    <row r="48" spans="1:12">
      <c r="E48" s="37">
        <v>7</v>
      </c>
      <c r="F48" s="25">
        <v>374837.89</v>
      </c>
      <c r="G48" s="25">
        <v>60049.4</v>
      </c>
      <c r="H48" s="26">
        <v>0.23519999999999999</v>
      </c>
      <c r="I48" s="95">
        <v>374837.89</v>
      </c>
      <c r="J48" s="95">
        <v>60049.4</v>
      </c>
      <c r="K48" s="95">
        <v>23.52</v>
      </c>
      <c r="L48" s="17"/>
    </row>
    <row r="49" spans="5:11">
      <c r="E49" s="37">
        <v>8</v>
      </c>
      <c r="F49" s="25">
        <v>590796</v>
      </c>
      <c r="G49" s="25">
        <v>110842.74</v>
      </c>
      <c r="H49" s="26">
        <v>0.3</v>
      </c>
      <c r="I49" s="95">
        <v>590796</v>
      </c>
      <c r="J49" s="95">
        <v>110842.74</v>
      </c>
      <c r="K49" s="95">
        <v>30</v>
      </c>
    </row>
    <row r="50" spans="5:11">
      <c r="E50" s="37">
        <v>9</v>
      </c>
      <c r="F50" s="25">
        <v>1127926.8500000001</v>
      </c>
      <c r="G50" s="25">
        <v>271981.99</v>
      </c>
      <c r="H50" s="26">
        <v>0.32</v>
      </c>
      <c r="I50" s="95">
        <v>1127926.8500000001</v>
      </c>
      <c r="J50" s="95">
        <v>271981.99</v>
      </c>
      <c r="K50" s="95">
        <v>32</v>
      </c>
    </row>
    <row r="51" spans="5:11">
      <c r="E51" s="37">
        <v>10</v>
      </c>
      <c r="F51" s="25">
        <v>1503902.47</v>
      </c>
      <c r="G51" s="25">
        <v>392294.17</v>
      </c>
      <c r="H51" s="26">
        <v>0.34</v>
      </c>
      <c r="I51" s="95">
        <v>1503902.47</v>
      </c>
      <c r="J51" s="95">
        <v>392294.17</v>
      </c>
      <c r="K51" s="95">
        <v>34</v>
      </c>
    </row>
    <row r="52" spans="5:11" ht="14" thickBot="1">
      <c r="E52" s="37">
        <v>11</v>
      </c>
      <c r="F52" s="25">
        <v>4511707.38</v>
      </c>
      <c r="G52" s="25">
        <v>1414947.85</v>
      </c>
      <c r="H52" s="26">
        <v>0.35</v>
      </c>
      <c r="I52" s="96">
        <v>4511707.38</v>
      </c>
      <c r="J52" s="96">
        <v>1414947.85</v>
      </c>
      <c r="K52" s="96">
        <v>35</v>
      </c>
    </row>
    <row r="53" spans="5:11" ht="14" thickTop="1"/>
  </sheetData>
  <sheetProtection algorithmName="SHA-512" hashValue="9hrn9xP9OZE0Qxp3xYSpCiUinV4obV1d73eqx27eoxOO9C1gfhq6Yddd+bdINrA4nA6jc515wmvG+LPtfYWjxA==" saltValue="AGm3zCaNStf11QEiWKTX5Q==" spinCount="100000" sheet="1" objects="1" scenarios="1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733D1-121F-47E6-AF8A-9A7012C08A43}">
  <dimension ref="A3:O48"/>
  <sheetViews>
    <sheetView topLeftCell="C8" workbookViewId="0">
      <selection activeCell="F22" sqref="F22"/>
    </sheetView>
  </sheetViews>
  <sheetFormatPr baseColWidth="10" defaultColWidth="11.140625" defaultRowHeight="16"/>
  <cols>
    <col min="1" max="1" width="7.5703125" style="9" customWidth="1"/>
    <col min="2" max="13" width="11.7109375" style="12" customWidth="1"/>
    <col min="14" max="16384" width="11.140625" style="9"/>
  </cols>
  <sheetData>
    <row r="3" spans="1:15" ht="15">
      <c r="A3" s="7" t="s">
        <v>37</v>
      </c>
      <c r="B3" s="8" t="s">
        <v>38</v>
      </c>
      <c r="C3" s="8" t="s">
        <v>39</v>
      </c>
      <c r="D3" s="8" t="s">
        <v>40</v>
      </c>
      <c r="E3" s="8" t="s">
        <v>41</v>
      </c>
      <c r="F3" s="8" t="s">
        <v>42</v>
      </c>
      <c r="G3" s="8" t="s">
        <v>43</v>
      </c>
      <c r="H3" s="8" t="s">
        <v>44</v>
      </c>
      <c r="I3" s="8" t="s">
        <v>45</v>
      </c>
      <c r="J3" s="8" t="s">
        <v>46</v>
      </c>
      <c r="K3" s="8" t="s">
        <v>47</v>
      </c>
      <c r="L3" s="8" t="s">
        <v>48</v>
      </c>
      <c r="M3" s="8" t="s">
        <v>49</v>
      </c>
    </row>
    <row r="4" spans="1:15" ht="15">
      <c r="A4" s="10">
        <v>2015</v>
      </c>
      <c r="B4" s="11">
        <v>87.110102999999995</v>
      </c>
      <c r="C4" s="11">
        <v>87.275377000000006</v>
      </c>
      <c r="D4" s="11">
        <v>87.630717000000004</v>
      </c>
      <c r="E4" s="11">
        <v>87.403840000000002</v>
      </c>
      <c r="F4" s="11">
        <v>86.967365999999998</v>
      </c>
      <c r="G4" s="11">
        <v>87.113107999999997</v>
      </c>
      <c r="H4" s="11">
        <v>87.240819999999999</v>
      </c>
      <c r="I4" s="11">
        <v>87.424875</v>
      </c>
      <c r="J4" s="11">
        <v>87.752419000000003</v>
      </c>
      <c r="K4" s="11">
        <v>88.203918999999999</v>
      </c>
      <c r="L4" s="11">
        <v>88.685468</v>
      </c>
      <c r="M4" s="11">
        <v>89.046818000000002</v>
      </c>
    </row>
    <row r="5" spans="1:15" ht="15">
      <c r="A5" s="10">
        <f>+A4+1</f>
        <v>2016</v>
      </c>
      <c r="B5" s="11">
        <v>89.386381</v>
      </c>
      <c r="C5" s="11">
        <v>89.777781000000004</v>
      </c>
      <c r="D5" s="11">
        <v>89.910000999999994</v>
      </c>
      <c r="E5" s="11">
        <v>89.625277999999994</v>
      </c>
      <c r="F5" s="11">
        <v>89.225615000000005</v>
      </c>
      <c r="G5" s="11">
        <v>89.324027999999998</v>
      </c>
      <c r="H5" s="11">
        <v>89.556914000000006</v>
      </c>
      <c r="I5" s="11">
        <v>89.809332999999995</v>
      </c>
      <c r="J5" s="11">
        <v>90.357743999999997</v>
      </c>
      <c r="K5" s="11">
        <v>90.906154000000001</v>
      </c>
      <c r="L5" s="11">
        <v>91.616833999999997</v>
      </c>
      <c r="M5" s="11">
        <v>92.039034999999998</v>
      </c>
    </row>
    <row r="6" spans="1:15" ht="15">
      <c r="A6" s="10">
        <f t="shared" ref="A6:A9" si="0">+A5+1</f>
        <v>2017</v>
      </c>
      <c r="B6" s="11">
        <v>93.603881999999999</v>
      </c>
      <c r="C6" s="11">
        <v>94.144779999999997</v>
      </c>
      <c r="D6" s="11">
        <v>94.722488999999996</v>
      </c>
      <c r="E6" s="11">
        <v>94.838932999999997</v>
      </c>
      <c r="F6" s="11">
        <v>94.725493999999998</v>
      </c>
      <c r="G6" s="11">
        <v>94.963639999999998</v>
      </c>
      <c r="H6" s="11">
        <v>95.322736000000006</v>
      </c>
      <c r="I6" s="11">
        <v>95.793768</v>
      </c>
      <c r="J6" s="11">
        <v>96.093514999999996</v>
      </c>
      <c r="K6" s="11">
        <v>96.698268999999996</v>
      </c>
      <c r="L6" s="11">
        <v>97.695173999999994</v>
      </c>
      <c r="M6" s="11">
        <v>98.272882999999993</v>
      </c>
    </row>
    <row r="7" spans="1:15" ht="15">
      <c r="A7" s="10">
        <f t="shared" si="0"/>
        <v>2018</v>
      </c>
      <c r="B7" s="11">
        <v>98.795000000000002</v>
      </c>
      <c r="C7" s="11">
        <v>99.171374</v>
      </c>
      <c r="D7" s="11">
        <v>99.492157000000006</v>
      </c>
      <c r="E7" s="11">
        <v>99.154847000000004</v>
      </c>
      <c r="F7" s="11">
        <v>98.994079999999997</v>
      </c>
      <c r="G7" s="11">
        <v>99.376464999999996</v>
      </c>
      <c r="H7" s="11">
        <v>99.909098999999998</v>
      </c>
      <c r="I7" s="11">
        <v>100.492</v>
      </c>
      <c r="J7" s="11">
        <v>100.917</v>
      </c>
      <c r="K7" s="11">
        <v>101.44</v>
      </c>
      <c r="L7" s="11">
        <v>102.303</v>
      </c>
      <c r="M7" s="11">
        <v>103.02</v>
      </c>
    </row>
    <row r="8" spans="1:15" ht="15">
      <c r="A8" s="10">
        <f t="shared" si="0"/>
        <v>2019</v>
      </c>
      <c r="B8" s="11">
        <v>103.108</v>
      </c>
      <c r="C8" s="11">
        <v>103.07899999999999</v>
      </c>
      <c r="D8" s="11">
        <v>103.476</v>
      </c>
      <c r="E8" s="11">
        <v>103.53100000000001</v>
      </c>
      <c r="F8" s="11">
        <v>103.233</v>
      </c>
      <c r="G8" s="11">
        <v>103.29900000000001</v>
      </c>
      <c r="H8" s="11">
        <v>103.687</v>
      </c>
      <c r="I8" s="11">
        <v>103.67</v>
      </c>
      <c r="J8" s="11">
        <v>103.94199999999999</v>
      </c>
      <c r="K8" s="11">
        <v>104.503</v>
      </c>
      <c r="L8" s="11">
        <v>105.346</v>
      </c>
      <c r="M8" s="11">
        <v>105.934</v>
      </c>
    </row>
    <row r="9" spans="1:15">
      <c r="A9" s="10">
        <f t="shared" si="0"/>
        <v>2020</v>
      </c>
      <c r="B9" s="11">
        <v>106.447</v>
      </c>
      <c r="C9" s="11">
        <v>106.889</v>
      </c>
      <c r="D9" s="11">
        <v>106.83799999999999</v>
      </c>
      <c r="E9" s="11">
        <v>105.755</v>
      </c>
      <c r="F9" s="11">
        <v>106.16200000000001</v>
      </c>
      <c r="G9" s="11">
        <v>106.74299999999999</v>
      </c>
      <c r="H9" s="11">
        <v>107.444</v>
      </c>
      <c r="I9" s="11">
        <v>107.867</v>
      </c>
      <c r="J9" s="11">
        <v>108.114</v>
      </c>
      <c r="K9" s="11">
        <v>108.774</v>
      </c>
      <c r="L9" s="11">
        <v>108.85599999999999</v>
      </c>
      <c r="M9" s="13">
        <v>109.271</v>
      </c>
      <c r="N9" s="43">
        <f>+M9/M8</f>
        <v>1.0315007457473522</v>
      </c>
    </row>
    <row r="10" spans="1:15" ht="15">
      <c r="A10" s="10">
        <v>2021</v>
      </c>
      <c r="B10" s="11">
        <v>110.21</v>
      </c>
      <c r="C10" s="11">
        <v>110.907</v>
      </c>
      <c r="D10" s="11">
        <v>111.824</v>
      </c>
      <c r="E10" s="11">
        <v>112.19</v>
      </c>
      <c r="F10" s="11">
        <v>112.419</v>
      </c>
      <c r="G10" s="11">
        <v>113.018</v>
      </c>
      <c r="H10" s="11">
        <v>113.682</v>
      </c>
      <c r="I10" s="11">
        <v>113.899</v>
      </c>
      <c r="J10" s="11">
        <v>114.601</v>
      </c>
      <c r="K10" s="11">
        <v>115.56100000000001</v>
      </c>
      <c r="L10" s="11">
        <v>116.884</v>
      </c>
      <c r="M10" s="11">
        <v>117.30800000000001</v>
      </c>
    </row>
    <row r="11" spans="1:15" ht="15">
      <c r="A11" s="10">
        <v>2022</v>
      </c>
      <c r="B11" s="11">
        <v>118.002</v>
      </c>
      <c r="C11" s="11">
        <v>118.98099999999999</v>
      </c>
      <c r="D11" s="11">
        <v>120.15900000000001</v>
      </c>
      <c r="E11" s="11">
        <v>120.809</v>
      </c>
      <c r="F11" s="11">
        <v>121.02200000000001</v>
      </c>
      <c r="G11" s="11">
        <v>122.044</v>
      </c>
      <c r="H11" s="11">
        <v>122.94799999999999</v>
      </c>
      <c r="I11" s="11">
        <v>123.803</v>
      </c>
      <c r="J11" s="11">
        <v>124.571</v>
      </c>
      <c r="K11" s="11">
        <v>125.276</v>
      </c>
      <c r="L11" s="11"/>
      <c r="M11" s="11"/>
      <c r="O11" s="70">
        <f>+M11/M10-1</f>
        <v>-1</v>
      </c>
    </row>
    <row r="20" spans="1:11" ht="17" thickBot="1">
      <c r="A20" s="29" t="s">
        <v>63</v>
      </c>
      <c r="B20" s="3"/>
      <c r="C20" s="3"/>
      <c r="D20" s="3"/>
    </row>
    <row r="21" spans="1:11" ht="29" thickBot="1">
      <c r="A21" s="56" t="s">
        <v>20</v>
      </c>
      <c r="B21" s="54" t="s">
        <v>3</v>
      </c>
      <c r="C21" s="54" t="s">
        <v>16</v>
      </c>
      <c r="D21" s="55" t="s">
        <v>19</v>
      </c>
      <c r="F21" s="22" t="s">
        <v>64</v>
      </c>
      <c r="H21" s="56" t="s">
        <v>20</v>
      </c>
      <c r="I21" s="54" t="s">
        <v>3</v>
      </c>
      <c r="J21" s="54" t="s">
        <v>16</v>
      </c>
      <c r="K21" s="55" t="s">
        <v>19</v>
      </c>
    </row>
    <row r="22" spans="1:11">
      <c r="A22" s="57">
        <v>1</v>
      </c>
      <c r="B22" s="3">
        <v>0</v>
      </c>
      <c r="C22" s="3">
        <v>0</v>
      </c>
      <c r="D22" s="51">
        <v>1.9199999999999998E-2</v>
      </c>
      <c r="F22" s="42">
        <v>11176.63</v>
      </c>
      <c r="H22" s="67">
        <v>1</v>
      </c>
      <c r="I22" s="68">
        <f>+B22*$F$23</f>
        <v>0</v>
      </c>
      <c r="J22" s="68">
        <f>+C22*$F$23</f>
        <v>0</v>
      </c>
      <c r="K22" s="69">
        <v>1.9199999999999998E-2</v>
      </c>
    </row>
    <row r="23" spans="1:11">
      <c r="A23" s="57">
        <v>2</v>
      </c>
      <c r="B23" s="3">
        <v>644.59</v>
      </c>
      <c r="C23" s="3">
        <v>12.38</v>
      </c>
      <c r="D23" s="51">
        <v>6.4000000000000001E-2</v>
      </c>
      <c r="F23" s="50">
        <f>+F22/B26</f>
        <v>1</v>
      </c>
      <c r="H23" s="57">
        <v>2</v>
      </c>
      <c r="I23" s="3">
        <f t="shared" ref="I23:J32" si="1">+B23*$F$23</f>
        <v>644.59</v>
      </c>
      <c r="J23" s="3">
        <f t="shared" si="1"/>
        <v>12.38</v>
      </c>
      <c r="K23" s="51">
        <v>6.4000000000000001E-2</v>
      </c>
    </row>
    <row r="24" spans="1:11">
      <c r="A24" s="57">
        <v>3</v>
      </c>
      <c r="B24" s="3">
        <v>5470.93</v>
      </c>
      <c r="C24" s="3">
        <v>321.26</v>
      </c>
      <c r="D24" s="51">
        <v>0.10880000000000001</v>
      </c>
      <c r="H24" s="57">
        <v>3</v>
      </c>
      <c r="I24" s="3">
        <f t="shared" si="1"/>
        <v>5470.93</v>
      </c>
      <c r="J24" s="3">
        <f t="shared" si="1"/>
        <v>321.26</v>
      </c>
      <c r="K24" s="51">
        <v>0.10880000000000001</v>
      </c>
    </row>
    <row r="25" spans="1:11">
      <c r="A25" s="57">
        <v>4</v>
      </c>
      <c r="B25" s="3">
        <v>9614.67</v>
      </c>
      <c r="C25" s="3">
        <v>772.1</v>
      </c>
      <c r="D25" s="51">
        <v>0.16</v>
      </c>
      <c r="H25" s="57">
        <v>4</v>
      </c>
      <c r="I25" s="3">
        <f t="shared" si="1"/>
        <v>9614.67</v>
      </c>
      <c r="J25" s="3">
        <f t="shared" si="1"/>
        <v>772.1</v>
      </c>
      <c r="K25" s="51">
        <v>0.16</v>
      </c>
    </row>
    <row r="26" spans="1:11">
      <c r="A26" s="57">
        <v>5</v>
      </c>
      <c r="B26" s="3">
        <v>11176.63</v>
      </c>
      <c r="C26" s="3">
        <v>1022.01</v>
      </c>
      <c r="D26" s="51">
        <v>0.17920000000000003</v>
      </c>
      <c r="H26" s="57">
        <v>5</v>
      </c>
      <c r="I26" s="3">
        <f t="shared" si="1"/>
        <v>11176.63</v>
      </c>
      <c r="J26" s="3">
        <f t="shared" si="1"/>
        <v>1022.01</v>
      </c>
      <c r="K26" s="51">
        <v>0.17920000000000003</v>
      </c>
    </row>
    <row r="27" spans="1:11">
      <c r="A27" s="57">
        <v>6</v>
      </c>
      <c r="B27" s="3">
        <v>13381.48</v>
      </c>
      <c r="C27" s="3">
        <v>1417.12</v>
      </c>
      <c r="D27" s="51">
        <v>0.21359999999999998</v>
      </c>
      <c r="H27" s="57">
        <v>6</v>
      </c>
      <c r="I27" s="3">
        <f t="shared" si="1"/>
        <v>13381.48</v>
      </c>
      <c r="J27" s="3">
        <f t="shared" si="1"/>
        <v>1417.12</v>
      </c>
      <c r="K27" s="51">
        <v>0.21359999999999998</v>
      </c>
    </row>
    <row r="28" spans="1:11">
      <c r="A28" s="57">
        <v>7</v>
      </c>
      <c r="B28" s="3">
        <v>26988.51</v>
      </c>
      <c r="C28" s="3">
        <v>4323.58</v>
      </c>
      <c r="D28" s="51">
        <v>0.23519999999999999</v>
      </c>
      <c r="H28" s="57">
        <v>7</v>
      </c>
      <c r="I28" s="3">
        <f t="shared" si="1"/>
        <v>26988.51</v>
      </c>
      <c r="J28" s="3">
        <f t="shared" si="1"/>
        <v>4323.58</v>
      </c>
      <c r="K28" s="51">
        <v>0.23519999999999999</v>
      </c>
    </row>
    <row r="29" spans="1:11">
      <c r="A29" s="57">
        <v>8</v>
      </c>
      <c r="B29" s="3">
        <v>42537.59</v>
      </c>
      <c r="C29" s="3">
        <v>7980.73</v>
      </c>
      <c r="D29" s="51">
        <v>0.3</v>
      </c>
      <c r="H29" s="57">
        <v>8</v>
      </c>
      <c r="I29" s="3">
        <f t="shared" si="1"/>
        <v>42537.59</v>
      </c>
      <c r="J29" s="3">
        <f t="shared" si="1"/>
        <v>7980.73</v>
      </c>
      <c r="K29" s="51">
        <v>0.3</v>
      </c>
    </row>
    <row r="30" spans="1:11">
      <c r="A30" s="57">
        <v>9</v>
      </c>
      <c r="B30" s="3">
        <v>81211.259999999995</v>
      </c>
      <c r="C30" s="3">
        <v>19582.830000000002</v>
      </c>
      <c r="D30" s="51">
        <v>0.32</v>
      </c>
      <c r="H30" s="57">
        <v>9</v>
      </c>
      <c r="I30" s="3">
        <f t="shared" si="1"/>
        <v>81211.259999999995</v>
      </c>
      <c r="J30" s="3">
        <f t="shared" si="1"/>
        <v>19582.830000000002</v>
      </c>
      <c r="K30" s="51">
        <v>0.32</v>
      </c>
    </row>
    <row r="31" spans="1:11">
      <c r="A31" s="57">
        <v>10</v>
      </c>
      <c r="B31" s="3">
        <v>108281.68</v>
      </c>
      <c r="C31" s="3">
        <v>28245.360000000001</v>
      </c>
      <c r="D31" s="51">
        <v>0.34</v>
      </c>
      <c r="H31" s="57">
        <v>10</v>
      </c>
      <c r="I31" s="3">
        <f t="shared" si="1"/>
        <v>108281.68</v>
      </c>
      <c r="J31" s="3">
        <f t="shared" si="1"/>
        <v>28245.360000000001</v>
      </c>
      <c r="K31" s="51">
        <v>0.34</v>
      </c>
    </row>
    <row r="32" spans="1:11" ht="17" thickBot="1">
      <c r="A32" s="58">
        <v>11</v>
      </c>
      <c r="B32" s="52">
        <v>324845.02</v>
      </c>
      <c r="C32" s="52">
        <v>101876.9</v>
      </c>
      <c r="D32" s="53">
        <v>0.35</v>
      </c>
      <c r="H32" s="58">
        <v>11</v>
      </c>
      <c r="I32" s="52">
        <f t="shared" si="1"/>
        <v>324845.02</v>
      </c>
      <c r="J32" s="52">
        <f t="shared" si="1"/>
        <v>101876.9</v>
      </c>
      <c r="K32" s="53">
        <v>0.35</v>
      </c>
    </row>
    <row r="36" spans="1:11" ht="17" thickBot="1">
      <c r="A36" s="29" t="s">
        <v>65</v>
      </c>
      <c r="B36" s="36"/>
      <c r="C36" s="3"/>
      <c r="D36" s="3"/>
    </row>
    <row r="37" spans="1:11" ht="33" thickBot="1">
      <c r="A37" s="61" t="s">
        <v>20</v>
      </c>
      <c r="B37" s="59" t="s">
        <v>3</v>
      </c>
      <c r="C37" s="59" t="s">
        <v>16</v>
      </c>
      <c r="D37" s="60" t="s">
        <v>15</v>
      </c>
      <c r="F37" s="48" t="s">
        <v>64</v>
      </c>
      <c r="H37" s="61" t="s">
        <v>20</v>
      </c>
      <c r="I37" s="59" t="s">
        <v>3</v>
      </c>
      <c r="J37" s="59" t="s">
        <v>16</v>
      </c>
      <c r="K37" s="60" t="s">
        <v>15</v>
      </c>
    </row>
    <row r="38" spans="1:11">
      <c r="A38" s="62">
        <v>1</v>
      </c>
      <c r="B38" s="25">
        <v>0</v>
      </c>
      <c r="C38" s="25">
        <v>0</v>
      </c>
      <c r="D38" s="64">
        <v>1.9199999999999998E-2</v>
      </c>
      <c r="F38" s="42">
        <v>134119.42000000001</v>
      </c>
      <c r="H38" s="62">
        <v>1</v>
      </c>
      <c r="I38" s="25">
        <f>+B38*$F$39</f>
        <v>0</v>
      </c>
      <c r="J38" s="25">
        <f>+C38*$F$39</f>
        <v>0</v>
      </c>
      <c r="K38" s="64">
        <v>1.9199999999999998E-2</v>
      </c>
    </row>
    <row r="39" spans="1:11">
      <c r="A39" s="62">
        <v>2</v>
      </c>
      <c r="B39" s="25">
        <v>7735.0104784285231</v>
      </c>
      <c r="C39" s="25">
        <v>148.50057785128274</v>
      </c>
      <c r="D39" s="64">
        <v>6.4000000000000001E-2</v>
      </c>
      <c r="F39" s="49">
        <f>+F38/B42</f>
        <v>1</v>
      </c>
      <c r="H39" s="62">
        <v>2</v>
      </c>
      <c r="I39" s="25">
        <f t="shared" ref="I39:J48" si="2">+B39*$F$39</f>
        <v>7735.0104784285231</v>
      </c>
      <c r="J39" s="25">
        <f t="shared" si="2"/>
        <v>148.50057785128274</v>
      </c>
      <c r="K39" s="64">
        <v>6.4000000000000001E-2</v>
      </c>
    </row>
    <row r="40" spans="1:11">
      <c r="A40" s="62">
        <v>3</v>
      </c>
      <c r="B40" s="25">
        <v>65651.082632439342</v>
      </c>
      <c r="C40" s="25">
        <v>3855.1431900601501</v>
      </c>
      <c r="D40" s="64">
        <v>0.10880000000000001</v>
      </c>
      <c r="H40" s="62">
        <v>3</v>
      </c>
      <c r="I40" s="25">
        <f t="shared" si="2"/>
        <v>65651.082632439342</v>
      </c>
      <c r="J40" s="25">
        <f t="shared" si="2"/>
        <v>3855.1431900601501</v>
      </c>
      <c r="K40" s="64">
        <v>0.10880000000000001</v>
      </c>
    </row>
    <row r="41" spans="1:11">
      <c r="A41" s="62">
        <v>4</v>
      </c>
      <c r="B41" s="25">
        <v>115375.91282833404</v>
      </c>
      <c r="C41" s="25">
        <v>9265.2082095047354</v>
      </c>
      <c r="D41" s="64">
        <v>0.16</v>
      </c>
      <c r="H41" s="62">
        <v>4</v>
      </c>
      <c r="I41" s="25">
        <f t="shared" si="2"/>
        <v>115375.91282833404</v>
      </c>
      <c r="J41" s="25">
        <f t="shared" si="2"/>
        <v>9265.2082095047354</v>
      </c>
      <c r="K41" s="64">
        <v>0.16</v>
      </c>
    </row>
    <row r="42" spans="1:11">
      <c r="A42" s="62">
        <v>5</v>
      </c>
      <c r="B42" s="25">
        <v>134119.42000000001</v>
      </c>
      <c r="C42" s="25">
        <v>12264.155540891119</v>
      </c>
      <c r="D42" s="64">
        <v>0.17920000000000003</v>
      </c>
      <c r="H42" s="62">
        <v>5</v>
      </c>
      <c r="I42" s="25">
        <f t="shared" si="2"/>
        <v>134119.42000000001</v>
      </c>
      <c r="J42" s="25">
        <f t="shared" si="2"/>
        <v>12264.155540891119</v>
      </c>
      <c r="K42" s="64">
        <v>0.17920000000000003</v>
      </c>
    </row>
    <row r="43" spans="1:11">
      <c r="A43" s="62">
        <v>6</v>
      </c>
      <c r="B43" s="25">
        <v>160577.65920984169</v>
      </c>
      <c r="C43" s="25">
        <v>17005.466569998684</v>
      </c>
      <c r="D43" s="64">
        <v>0.21359999999999998</v>
      </c>
      <c r="H43" s="62">
        <v>6</v>
      </c>
      <c r="I43" s="25">
        <f t="shared" si="2"/>
        <v>160577.65920984169</v>
      </c>
      <c r="J43" s="25">
        <f t="shared" si="2"/>
        <v>17005.466569998684</v>
      </c>
      <c r="K43" s="64">
        <v>0.21359999999999998</v>
      </c>
    </row>
    <row r="44" spans="1:11">
      <c r="A44" s="62">
        <v>7</v>
      </c>
      <c r="B44" s="25">
        <v>323862.02222942654</v>
      </c>
      <c r="C44" s="25">
        <v>51883.01333879969</v>
      </c>
      <c r="D44" s="64">
        <v>0.23519999999999999</v>
      </c>
      <c r="H44" s="62">
        <v>7</v>
      </c>
      <c r="I44" s="25">
        <f t="shared" si="2"/>
        <v>323862.02222942654</v>
      </c>
      <c r="J44" s="25">
        <f t="shared" si="2"/>
        <v>51883.01333879969</v>
      </c>
      <c r="K44" s="64">
        <v>0.23519999999999999</v>
      </c>
    </row>
    <row r="45" spans="1:11">
      <c r="A45" s="62">
        <v>8</v>
      </c>
      <c r="B45" s="25">
        <v>510451.01502353855</v>
      </c>
      <c r="C45" s="25">
        <v>95768.744657901247</v>
      </c>
      <c r="D45" s="64">
        <v>0.3</v>
      </c>
      <c r="H45" s="62">
        <v>8</v>
      </c>
      <c r="I45" s="25">
        <f t="shared" si="2"/>
        <v>510451.01502353855</v>
      </c>
      <c r="J45" s="25">
        <f t="shared" si="2"/>
        <v>95768.744657901247</v>
      </c>
      <c r="K45" s="64">
        <v>0.3</v>
      </c>
    </row>
    <row r="46" spans="1:11">
      <c r="A46" s="62">
        <v>9</v>
      </c>
      <c r="B46" s="25">
        <v>974535.05329104315</v>
      </c>
      <c r="C46" s="25">
        <v>234993.95279555258</v>
      </c>
      <c r="D46" s="64">
        <v>0.32</v>
      </c>
      <c r="H46" s="62">
        <v>9</v>
      </c>
      <c r="I46" s="25">
        <f t="shared" si="2"/>
        <v>974535.05329104315</v>
      </c>
      <c r="J46" s="25">
        <f t="shared" si="2"/>
        <v>234993.95279555258</v>
      </c>
      <c r="K46" s="64">
        <v>0.32</v>
      </c>
    </row>
    <row r="47" spans="1:11">
      <c r="A47" s="62">
        <v>10</v>
      </c>
      <c r="B47" s="25">
        <v>1299380.0673407242</v>
      </c>
      <c r="C47" s="25">
        <v>338944.33500745025</v>
      </c>
      <c r="D47" s="64">
        <v>0.34</v>
      </c>
      <c r="H47" s="62">
        <v>10</v>
      </c>
      <c r="I47" s="25">
        <f t="shared" si="2"/>
        <v>1299380.0673407242</v>
      </c>
      <c r="J47" s="25">
        <f t="shared" si="2"/>
        <v>338944.33500745025</v>
      </c>
      <c r="K47" s="64">
        <v>0.34</v>
      </c>
    </row>
    <row r="48" spans="1:11" ht="17" thickBot="1">
      <c r="A48" s="63">
        <v>11</v>
      </c>
      <c r="B48" s="65">
        <v>3898140.1797381719</v>
      </c>
      <c r="C48" s="65">
        <v>1222522.7732225824</v>
      </c>
      <c r="D48" s="66">
        <v>0.35</v>
      </c>
      <c r="H48" s="63">
        <v>11</v>
      </c>
      <c r="I48" s="25">
        <f t="shared" si="2"/>
        <v>3898140.1797381719</v>
      </c>
      <c r="J48" s="25">
        <f t="shared" si="2"/>
        <v>1222522.7732225824</v>
      </c>
      <c r="K48" s="66">
        <v>0.35</v>
      </c>
    </row>
  </sheetData>
  <sheetProtection algorithmName="SHA-512" hashValue="vwm5ewRrc08foJUFTskgDwsv3bP8MzpJHUhnQ1tX2QFEMFbIgvucIpIiJTuVrKuTfy4PJ7kijgcWzZoJa2Mb2w==" saltValue="YBObMVOXaSTc3p0xOTUtl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d2d763-1bce-42a3-b644-96e8896c3014">
      <Terms xmlns="http://schemas.microsoft.com/office/infopath/2007/PartnerControls"/>
    </lcf76f155ced4ddcb4097134ff3c332f>
    <TaxCatchAll xmlns="eea3c158-d1bd-4846-b8a1-8f466c5fc8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818802604D834095DB8AB2FED26937" ma:contentTypeVersion="12" ma:contentTypeDescription="Crear nuevo documento." ma:contentTypeScope="" ma:versionID="e03e30ec0970eb920e0bcab57472d272">
  <xsd:schema xmlns:xsd="http://www.w3.org/2001/XMLSchema" xmlns:xs="http://www.w3.org/2001/XMLSchema" xmlns:p="http://schemas.microsoft.com/office/2006/metadata/properties" xmlns:ns2="f0d2d763-1bce-42a3-b644-96e8896c3014" xmlns:ns3="eea3c158-d1bd-4846-b8a1-8f466c5fc87e" targetNamespace="http://schemas.microsoft.com/office/2006/metadata/properties" ma:root="true" ma:fieldsID="41f579b7b8d1eed687d2d42729f44194" ns2:_="" ns3:_="">
    <xsd:import namespace="f0d2d763-1bce-42a3-b644-96e8896c3014"/>
    <xsd:import namespace="eea3c158-d1bd-4846-b8a1-8f466c5fc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2d763-1bce-42a3-b644-96e8896c30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b05822d-73af-4be4-a9ea-bc6f5058fb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3c158-d1bd-4846-b8a1-8f466c5fc8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25ec5a-458b-43a1-8e25-026422c6f4bb}" ma:internalName="TaxCatchAll" ma:showField="CatchAllData" ma:web="eea3c158-d1bd-4846-b8a1-8f466c5fc8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88602F-5581-458E-BAF9-4302592D13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A3614C-F6CE-4DA2-89EA-A8A660C43EE1}">
  <ds:schemaRefs>
    <ds:schemaRef ds:uri="http://schemas.microsoft.com/office/2006/metadata/properties"/>
    <ds:schemaRef ds:uri="http://schemas.microsoft.com/office/infopath/2007/PartnerControls"/>
    <ds:schemaRef ds:uri="f0d2d763-1bce-42a3-b644-96e8896c3014"/>
    <ds:schemaRef ds:uri="eea3c158-d1bd-4846-b8a1-8f466c5fc87e"/>
  </ds:schemaRefs>
</ds:datastoreItem>
</file>

<file path=customXml/itemProps3.xml><?xml version="1.0" encoding="utf-8"?>
<ds:datastoreItem xmlns:ds="http://schemas.openxmlformats.org/officeDocument/2006/customXml" ds:itemID="{E259EC13-0E17-4557-9635-A8C254D31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d2d763-1bce-42a3-b644-96e8896c3014"/>
    <ds:schemaRef ds:uri="eea3c158-d1bd-4846-b8a1-8f466c5fc8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GraficarPuntos</vt:lpstr>
      <vt:lpstr>Introducción</vt:lpstr>
      <vt:lpstr>Cálculo de Periodos</vt:lpstr>
      <vt:lpstr>Cálculo Anual</vt:lpstr>
      <vt:lpstr>Hoja1</vt:lpstr>
      <vt:lpstr>TARIFAS 2022</vt:lpstr>
      <vt:lpstr>TARIFAS 2023</vt:lpstr>
      <vt:lpstr>INPC20</vt:lpstr>
      <vt:lpstr>Anual2022</vt:lpstr>
      <vt:lpstr>Anual2023</vt:lpstr>
      <vt:lpstr>'Cálculo de Periodos'!Ingreso_Gravado_Directo</vt:lpstr>
      <vt:lpstr>INPC</vt:lpstr>
      <vt:lpstr>Opciones2</vt:lpstr>
      <vt:lpstr>Subsidio2022</vt:lpstr>
      <vt:lpstr>Tabla2022</vt:lpstr>
      <vt:lpstr>Tabla2023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ANALISIS DE CREDITO AL SALARIO ANUAL</dc:title>
  <dc:creator>BENITO BARRAGAN RANGEL</dc:creator>
  <cp:lastModifiedBy>Jorge Enrique Benitez Barba</cp:lastModifiedBy>
  <cp:lastPrinted>2008-12-12T23:26:40Z</cp:lastPrinted>
  <dcterms:created xsi:type="dcterms:W3CDTF">1998-02-06T01:30:41Z</dcterms:created>
  <dcterms:modified xsi:type="dcterms:W3CDTF">2023-02-07T16:04:54Z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0x010100DE818802604D834095DB8AB2FED26937</vt:lpwstr>
  </property>
  <property fmtid="{D5CDD505-2E9C-101B-9397-08002B2CF9AE}" pid="3" name="MediaServiceImageTags">
    <vt:lpwstr/>
  </property>
</Properties>
</file>